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<sst xmlns="http://schemas.openxmlformats.org/spreadsheetml/2006/main" count="116" uniqueCount="114">
  <si>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</si>
  <si>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</si>
  <si>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</si>
  <si>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</si>
  <si>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</si>
  <si>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</si>
  <si>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</si>
  <si>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</si>
  <si>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</si>
  <si>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</si>
  <si>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</si>
  <si>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</si>
  <si>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</si>
  <si>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</si>
  <si>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</si>
  <si>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</si>
  <si>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</si>
  <si>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</si>
  <si>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</si>
  <si>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</si>
  <si>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</si>
  <si>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</si>
  <si>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</si>
  <si>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</si>
  <si>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</si>
  <si>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</si>
  <si>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</si>
  <si>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</si>
  <si>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</si>
  <si>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</si>
  <si>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</si>
  <si>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</si>
  <si>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</si>
  <si>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</si>
  <si>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</si>
  <si>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</si>
  <si>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</si>
  <si>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</si>
  <si>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</si>
  <si>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</si>
  <si>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</si>
  <si>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</si>
  <si>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</si>
  <si>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</si>
  <si>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</si>
  <si>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</si>
  <si>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</si>
  <si>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</si>
  <si>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</si>
  <si>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</si>
  <si>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</si>
  <si>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</si>
  <si>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</si>
  <si>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</si>
  <si>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</si>
  <si>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</si>
  <si>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</si>
  <si>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</si>
  <si>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</si>
  <si>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</si>
  <si>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</si>
  <si>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</si>
  <si>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</si>
  <si>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</si>
  <si>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</si>
  <si>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</si>
  <si>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</si>
  <si>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</si>
  <si>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</si>
  <si>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</si>
  <si>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</si>
  <si>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</si>
  <si>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</si>
  <si>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</si>
  <si>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</si>
  <si>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</si>
  <si>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</si>
  <si>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</si>
  <si>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</si>
  <si>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</si>
  <si>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</si>
  <si>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</si>
  <si>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</si>
  <si>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</si>
  <si>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</si>
  <si>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</si>
  <si>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</si>
  <si>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</si>
  <si>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</si>
  <si>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</si>
  <si>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</si>
  <si>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</si>
  <si>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</si>
  <si>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</si>
  <si>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</si>
  <si>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</si>
  <si>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</si>
  <si>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</si>
  <si>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</si>
  <si>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</si>
  <si>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Nota:</t>
  </si>
  <si>
    <t>Movebuss Soluções em Mobilidde Urbana Ltda</t>
  </si>
  <si>
    <t>OPERAÇÃO 17/11/17 - VENCIMENTO 27/11/17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</si>
  <si>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</si>
  <si>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 xml:space="preserve">(1) Ajuste de remuneração, previsto contratualmente, período de 25/09 a 24/10/17, parcela 16/20.
</t>
  </si>
  <si>
    <r>
      <t>5.2.9. Ajuste de Remuneração Previsto Contratualmente  Ar-condicionado (-)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</si>
  <si>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</si>
  <si>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</si>
  <si>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</si>
  <si>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</si>
  <si>
    <t>(2) Revisão ar-condicionado, período de 25/05 a 25/06/17.</t>
  </si>
  <si>
    <t>(3) Revisão ajuste de remuneração, período de 25/05 a 25/06/17.</t>
  </si>
  <si>
    <t>(5) Tarifa de remuneração de cada empresa considerando o  reequilibrio interno estabelecido e informado pelo consórcio. Não consideram os acertos financeiros previstos no item 7.</t>
  </si>
  <si>
    <t>(4) Revisão de passageiros transportados, período de 25/10 a 11/11/17, área 3.1, total de 99.475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</si>
</sst>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101</xdr:row>
      <xdr:rowOff>0</xdr:rowOff>
    </xdr:from>
    <xdr:to>
      <xdr:col>2</xdr:col>
      <xdr:colOff>638175</xdr:colOff>
      <xdr:row>101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74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638175</xdr:colOff>
      <xdr:row>101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74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638175</xdr:colOff>
      <xdr:row>101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74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504788</v>
      </c>
      <c r="C7" s="10">
        <f>C8+C20+C24</f>
        <v>374521</v>
      </c>
      <c r="D7" s="10">
        <f>D8+D20+D24</f>
        <v>379653</v>
      </c>
      <c r="E7" s="10">
        <f>E8+E20+E24</f>
        <v>52122</v>
      </c>
      <c r="F7" s="10">
        <f aca="true" t="shared" si="0" ref="F7:N7">F8+F20+F24</f>
        <v>330789</v>
      </c>
      <c r="G7" s="10">
        <f t="shared" si="0"/>
        <v>522406</v>
      </c>
      <c r="H7" s="10">
        <f>H8+H20+H24</f>
        <v>366205</v>
      </c>
      <c r="I7" s="10">
        <f>I8+I20+I24</f>
        <v>101520</v>
      </c>
      <c r="J7" s="10">
        <f>J8+J20+J24</f>
        <v>421138</v>
      </c>
      <c r="K7" s="10">
        <f>K8+K20+K24</f>
        <v>302712</v>
      </c>
      <c r="L7" s="10">
        <f>L8+L20+L24</f>
        <v>377197</v>
      </c>
      <c r="M7" s="10">
        <f t="shared" si="0"/>
        <v>153000</v>
      </c>
      <c r="N7" s="10">
        <f t="shared" si="0"/>
        <v>91637</v>
      </c>
      <c r="O7" s="10">
        <f>+O8+O20+O24</f>
        <v>3977688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210917</v>
      </c>
      <c r="C8" s="12">
        <f>+C9+C12+C16</f>
        <v>168679</v>
      </c>
      <c r="D8" s="12">
        <f>+D9+D12+D16</f>
        <v>185963</v>
      </c>
      <c r="E8" s="12">
        <f>+E9+E12+E16</f>
        <v>22941</v>
      </c>
      <c r="F8" s="12">
        <f aca="true" t="shared" si="1" ref="F8:N8">+F9+F12+F16</f>
        <v>148900</v>
      </c>
      <c r="G8" s="12">
        <f t="shared" si="1"/>
        <v>241752</v>
      </c>
      <c r="H8" s="12">
        <f>+H9+H12+H16</f>
        <v>162172</v>
      </c>
      <c r="I8" s="12">
        <f>+I9+I12+I16</f>
        <v>47218</v>
      </c>
      <c r="J8" s="12">
        <f>+J9+J12+J16</f>
        <v>193316</v>
      </c>
      <c r="K8" s="12">
        <f>+K9+K12+K16</f>
        <v>139478</v>
      </c>
      <c r="L8" s="12">
        <f>+L9+L12+L16</f>
        <v>161269</v>
      </c>
      <c r="M8" s="12">
        <f t="shared" si="1"/>
        <v>76017</v>
      </c>
      <c r="N8" s="12">
        <f t="shared" si="1"/>
        <v>46495</v>
      </c>
      <c r="O8" s="12">
        <f>SUM(B8:N8)</f>
        <v>1805117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19566</v>
      </c>
      <c r="C9" s="14">
        <v>20270</v>
      </c>
      <c r="D9" s="14">
        <v>14936</v>
      </c>
      <c r="E9" s="14">
        <v>1412</v>
      </c>
      <c r="F9" s="14">
        <v>12347</v>
      </c>
      <c r="G9" s="14">
        <v>22489</v>
      </c>
      <c r="H9" s="14">
        <v>20370</v>
      </c>
      <c r="I9" s="14">
        <v>5920</v>
      </c>
      <c r="J9" s="14">
        <v>12824</v>
      </c>
      <c r="K9" s="14">
        <v>15732</v>
      </c>
      <c r="L9" s="14">
        <v>12555</v>
      </c>
      <c r="M9" s="14">
        <v>8612</v>
      </c>
      <c r="N9" s="14">
        <v>5558</v>
      </c>
      <c r="O9" s="12">
        <f aca="true" t="shared" si="2" ref="O9:O19">SUM(B9:N9)</f>
        <v>172591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19566</v>
      </c>
      <c r="C10" s="14">
        <f>+C9-C11</f>
        <v>20270</v>
      </c>
      <c r="D10" s="14">
        <f>+D9-D11</f>
        <v>14936</v>
      </c>
      <c r="E10" s="14">
        <f>+E9-E11</f>
        <v>1412</v>
      </c>
      <c r="F10" s="14">
        <f aca="true" t="shared" si="3" ref="F10:N10">+F9-F11</f>
        <v>12347</v>
      </c>
      <c r="G10" s="14">
        <f t="shared" si="3"/>
        <v>22489</v>
      </c>
      <c r="H10" s="14">
        <f>+H9-H11</f>
        <v>20370</v>
      </c>
      <c r="I10" s="14">
        <f>+I9-I11</f>
        <v>5920</v>
      </c>
      <c r="J10" s="14">
        <f>+J9-J11</f>
        <v>12824</v>
      </c>
      <c r="K10" s="14">
        <f>+K9-K11</f>
        <v>15732</v>
      </c>
      <c r="L10" s="14">
        <f>+L9-L11</f>
        <v>12555</v>
      </c>
      <c r="M10" s="14">
        <f t="shared" si="3"/>
        <v>8612</v>
      </c>
      <c r="N10" s="14">
        <f t="shared" si="3"/>
        <v>5558</v>
      </c>
      <c r="O10" s="12">
        <f t="shared" si="2"/>
        <v>172591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180570</v>
      </c>
      <c r="C12" s="14">
        <f>C13+C14+C15</f>
        <v>140518</v>
      </c>
      <c r="D12" s="14">
        <f>D13+D14+D15</f>
        <v>162424</v>
      </c>
      <c r="E12" s="14">
        <f>E13+E14+E15</f>
        <v>20466</v>
      </c>
      <c r="F12" s="14">
        <f aca="true" t="shared" si="4" ref="F12:N12">F13+F14+F15</f>
        <v>129081</v>
      </c>
      <c r="G12" s="14">
        <f t="shared" si="4"/>
        <v>206122</v>
      </c>
      <c r="H12" s="14">
        <f>H13+H14+H15</f>
        <v>133949</v>
      </c>
      <c r="I12" s="14">
        <f>I13+I14+I15</f>
        <v>38977</v>
      </c>
      <c r="J12" s="14">
        <f>J13+J14+J15</f>
        <v>169935</v>
      </c>
      <c r="K12" s="14">
        <f>K13+K14+K15</f>
        <v>116942</v>
      </c>
      <c r="L12" s="14">
        <f>L13+L14+L15</f>
        <v>139346</v>
      </c>
      <c r="M12" s="14">
        <f t="shared" si="4"/>
        <v>64035</v>
      </c>
      <c r="N12" s="14">
        <f t="shared" si="4"/>
        <v>39134</v>
      </c>
      <c r="O12" s="12">
        <f t="shared" si="2"/>
        <v>1541499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85195</v>
      </c>
      <c r="C13" s="14">
        <v>67770</v>
      </c>
      <c r="D13" s="14">
        <v>74895</v>
      </c>
      <c r="E13" s="14">
        <v>9842</v>
      </c>
      <c r="F13" s="14">
        <v>59158</v>
      </c>
      <c r="G13" s="14">
        <v>97113</v>
      </c>
      <c r="H13" s="14">
        <v>66133</v>
      </c>
      <c r="I13" s="14">
        <v>19536</v>
      </c>
      <c r="J13" s="14">
        <v>82978</v>
      </c>
      <c r="K13" s="14">
        <v>55486</v>
      </c>
      <c r="L13" s="14">
        <v>65875</v>
      </c>
      <c r="M13" s="14">
        <v>29813</v>
      </c>
      <c r="N13" s="14">
        <v>17679</v>
      </c>
      <c r="O13" s="12">
        <f t="shared" si="2"/>
        <v>731473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90438</v>
      </c>
      <c r="C14" s="14">
        <v>66658</v>
      </c>
      <c r="D14" s="14">
        <v>84409</v>
      </c>
      <c r="E14" s="14">
        <v>9944</v>
      </c>
      <c r="F14" s="14">
        <v>65615</v>
      </c>
      <c r="G14" s="14">
        <v>100453</v>
      </c>
      <c r="H14" s="14">
        <v>63379</v>
      </c>
      <c r="I14" s="14">
        <v>18162</v>
      </c>
      <c r="J14" s="14">
        <v>83682</v>
      </c>
      <c r="K14" s="14">
        <v>58001</v>
      </c>
      <c r="L14" s="14">
        <v>69985</v>
      </c>
      <c r="M14" s="14">
        <v>32122</v>
      </c>
      <c r="N14" s="14">
        <v>20495</v>
      </c>
      <c r="O14" s="12">
        <f t="shared" si="2"/>
        <v>763343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4937</v>
      </c>
      <c r="C15" s="14">
        <v>6090</v>
      </c>
      <c r="D15" s="14">
        <v>3120</v>
      </c>
      <c r="E15" s="14">
        <v>680</v>
      </c>
      <c r="F15" s="14">
        <v>4308</v>
      </c>
      <c r="G15" s="14">
        <v>8556</v>
      </c>
      <c r="H15" s="14">
        <v>4437</v>
      </c>
      <c r="I15" s="14">
        <v>1279</v>
      </c>
      <c r="J15" s="14">
        <v>3275</v>
      </c>
      <c r="K15" s="14">
        <v>3455</v>
      </c>
      <c r="L15" s="14">
        <v>3486</v>
      </c>
      <c r="M15" s="14">
        <v>2100</v>
      </c>
      <c r="N15" s="14">
        <v>960</v>
      </c>
      <c r="O15" s="12">
        <f t="shared" si="2"/>
        <v>46683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10781</v>
      </c>
      <c r="C16" s="14">
        <f>C17+C18+C19</f>
        <v>7891</v>
      </c>
      <c r="D16" s="14">
        <f>D17+D18+D19</f>
        <v>8603</v>
      </c>
      <c r="E16" s="14">
        <f>E17+E18+E19</f>
        <v>1063</v>
      </c>
      <c r="F16" s="14">
        <f aca="true" t="shared" si="5" ref="F16:N16">F17+F18+F19</f>
        <v>7472</v>
      </c>
      <c r="G16" s="14">
        <f t="shared" si="5"/>
        <v>13141</v>
      </c>
      <c r="H16" s="14">
        <f>H17+H18+H19</f>
        <v>7853</v>
      </c>
      <c r="I16" s="14">
        <f>I17+I18+I19</f>
        <v>2321</v>
      </c>
      <c r="J16" s="14">
        <f>J17+J18+J19</f>
        <v>10557</v>
      </c>
      <c r="K16" s="14">
        <f>K17+K18+K19</f>
        <v>6804</v>
      </c>
      <c r="L16" s="14">
        <f>L17+L18+L19</f>
        <v>9368</v>
      </c>
      <c r="M16" s="14">
        <f t="shared" si="5"/>
        <v>3370</v>
      </c>
      <c r="N16" s="14">
        <f t="shared" si="5"/>
        <v>1803</v>
      </c>
      <c r="O16" s="12">
        <f t="shared" si="2"/>
        <v>91027</v>
      </c>
    </row>
    <row r="17" spans="1:26" ht="18.75" customHeight="1">
      <c r="A17" s="15" t="s">
        <v>16</v>
      </c>
      <c r="B17" s="14">
        <v>10697</v>
      </c>
      <c r="C17" s="14">
        <v>7838</v>
      </c>
      <c r="D17" s="14">
        <v>8564</v>
      </c>
      <c r="E17" s="14">
        <v>1057</v>
      </c>
      <c r="F17" s="14">
        <v>7436</v>
      </c>
      <c r="G17" s="14">
        <v>13099</v>
      </c>
      <c r="H17" s="14">
        <v>7807</v>
      </c>
      <c r="I17" s="14">
        <v>2310</v>
      </c>
      <c r="J17" s="14">
        <v>10510</v>
      </c>
      <c r="K17" s="14">
        <v>6781</v>
      </c>
      <c r="L17" s="14">
        <v>9303</v>
      </c>
      <c r="M17" s="14">
        <v>3346</v>
      </c>
      <c r="N17" s="14">
        <v>1792</v>
      </c>
      <c r="O17" s="12">
        <f t="shared" si="2"/>
        <v>90540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74</v>
      </c>
      <c r="C18" s="14">
        <v>42</v>
      </c>
      <c r="D18" s="14">
        <v>28</v>
      </c>
      <c r="E18" s="14">
        <v>6</v>
      </c>
      <c r="F18" s="14">
        <v>26</v>
      </c>
      <c r="G18" s="14">
        <v>30</v>
      </c>
      <c r="H18" s="14">
        <v>36</v>
      </c>
      <c r="I18" s="14">
        <v>9</v>
      </c>
      <c r="J18" s="14">
        <v>37</v>
      </c>
      <c r="K18" s="14">
        <v>19</v>
      </c>
      <c r="L18" s="14">
        <v>59</v>
      </c>
      <c r="M18" s="14">
        <v>22</v>
      </c>
      <c r="N18" s="14">
        <v>10</v>
      </c>
      <c r="O18" s="12">
        <f t="shared" si="2"/>
        <v>398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11</v>
      </c>
      <c r="D19" s="14">
        <v>11</v>
      </c>
      <c r="E19" s="14">
        <v>0</v>
      </c>
      <c r="F19" s="14">
        <v>10</v>
      </c>
      <c r="G19" s="14">
        <v>12</v>
      </c>
      <c r="H19" s="14">
        <v>10</v>
      </c>
      <c r="I19" s="14">
        <v>2</v>
      </c>
      <c r="J19" s="14">
        <v>10</v>
      </c>
      <c r="K19" s="14">
        <v>4</v>
      </c>
      <c r="L19" s="14">
        <v>6</v>
      </c>
      <c r="M19" s="14">
        <v>2</v>
      </c>
      <c r="N19" s="14">
        <v>1</v>
      </c>
      <c r="O19" s="12">
        <f t="shared" si="2"/>
        <v>89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127478</v>
      </c>
      <c r="C20" s="18">
        <f>C21+C22+C23</f>
        <v>81541</v>
      </c>
      <c r="D20" s="18">
        <f>D21+D22+D23</f>
        <v>74717</v>
      </c>
      <c r="E20" s="18">
        <f>E21+E22+E23</f>
        <v>10475</v>
      </c>
      <c r="F20" s="18">
        <f aca="true" t="shared" si="6" ref="F20:N20">F21+F22+F23</f>
        <v>67010</v>
      </c>
      <c r="G20" s="18">
        <f t="shared" si="6"/>
        <v>106642</v>
      </c>
      <c r="H20" s="18">
        <f>H21+H22+H23</f>
        <v>87530</v>
      </c>
      <c r="I20" s="18">
        <f>I21+I22+I23</f>
        <v>23420</v>
      </c>
      <c r="J20" s="18">
        <f>J21+J22+J23</f>
        <v>103684</v>
      </c>
      <c r="K20" s="18">
        <f>K21+K22+K23</f>
        <v>69435</v>
      </c>
      <c r="L20" s="18">
        <f>L21+L22+L23</f>
        <v>108807</v>
      </c>
      <c r="M20" s="18">
        <f t="shared" si="6"/>
        <v>41218</v>
      </c>
      <c r="N20" s="18">
        <f t="shared" si="6"/>
        <v>23674</v>
      </c>
      <c r="O20" s="12">
        <f aca="true" t="shared" si="7" ref="O20:O26">SUM(B20:N20)</f>
        <v>925631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65208</v>
      </c>
      <c r="C21" s="14">
        <v>44248</v>
      </c>
      <c r="D21" s="14">
        <v>38544</v>
      </c>
      <c r="E21" s="14">
        <v>5796</v>
      </c>
      <c r="F21" s="14">
        <v>34599</v>
      </c>
      <c r="G21" s="14">
        <v>56441</v>
      </c>
      <c r="H21" s="14">
        <v>48097</v>
      </c>
      <c r="I21" s="14">
        <v>13083</v>
      </c>
      <c r="J21" s="14">
        <v>56127</v>
      </c>
      <c r="K21" s="14">
        <v>36715</v>
      </c>
      <c r="L21" s="14">
        <v>56273</v>
      </c>
      <c r="M21" s="14">
        <v>21408</v>
      </c>
      <c r="N21" s="14">
        <v>11871</v>
      </c>
      <c r="O21" s="12">
        <f t="shared" si="7"/>
        <v>488410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59735</v>
      </c>
      <c r="C22" s="14">
        <v>35032</v>
      </c>
      <c r="D22" s="14">
        <v>35053</v>
      </c>
      <c r="E22" s="14">
        <v>4419</v>
      </c>
      <c r="F22" s="14">
        <v>30808</v>
      </c>
      <c r="G22" s="14">
        <v>47235</v>
      </c>
      <c r="H22" s="14">
        <v>37738</v>
      </c>
      <c r="I22" s="14">
        <v>9877</v>
      </c>
      <c r="J22" s="14">
        <v>45853</v>
      </c>
      <c r="K22" s="14">
        <v>31316</v>
      </c>
      <c r="L22" s="14">
        <v>50668</v>
      </c>
      <c r="M22" s="14">
        <v>18919</v>
      </c>
      <c r="N22" s="14">
        <v>11349</v>
      </c>
      <c r="O22" s="12">
        <f t="shared" si="7"/>
        <v>418002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2535</v>
      </c>
      <c r="C23" s="14">
        <v>2261</v>
      </c>
      <c r="D23" s="14">
        <v>1120</v>
      </c>
      <c r="E23" s="14">
        <v>260</v>
      </c>
      <c r="F23" s="14">
        <v>1603</v>
      </c>
      <c r="G23" s="14">
        <v>2966</v>
      </c>
      <c r="H23" s="14">
        <v>1695</v>
      </c>
      <c r="I23" s="14">
        <v>460</v>
      </c>
      <c r="J23" s="14">
        <v>1704</v>
      </c>
      <c r="K23" s="14">
        <v>1404</v>
      </c>
      <c r="L23" s="14">
        <v>1866</v>
      </c>
      <c r="M23" s="14">
        <v>891</v>
      </c>
      <c r="N23" s="14">
        <v>454</v>
      </c>
      <c r="O23" s="12">
        <f t="shared" si="7"/>
        <v>19219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166393</v>
      </c>
      <c r="C24" s="14">
        <f>C25+C26</f>
        <v>124301</v>
      </c>
      <c r="D24" s="14">
        <f>D25+D26</f>
        <v>118973</v>
      </c>
      <c r="E24" s="14">
        <f>E25+E26</f>
        <v>18706</v>
      </c>
      <c r="F24" s="14">
        <f aca="true" t="shared" si="8" ref="F24:N24">F25+F26</f>
        <v>114879</v>
      </c>
      <c r="G24" s="14">
        <f t="shared" si="8"/>
        <v>174012</v>
      </c>
      <c r="H24" s="14">
        <f>H25+H26</f>
        <v>116503</v>
      </c>
      <c r="I24" s="14">
        <f>I25+I26</f>
        <v>30882</v>
      </c>
      <c r="J24" s="14">
        <f>J25+J26</f>
        <v>124138</v>
      </c>
      <c r="K24" s="14">
        <f>K25+K26</f>
        <v>93799</v>
      </c>
      <c r="L24" s="14">
        <f>L25+L26</f>
        <v>107121</v>
      </c>
      <c r="M24" s="14">
        <f t="shared" si="8"/>
        <v>35765</v>
      </c>
      <c r="N24" s="14">
        <f t="shared" si="8"/>
        <v>21468</v>
      </c>
      <c r="O24" s="12">
        <f t="shared" si="7"/>
        <v>1246940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68348</v>
      </c>
      <c r="C25" s="14">
        <v>59165</v>
      </c>
      <c r="D25" s="14">
        <v>55274</v>
      </c>
      <c r="E25" s="14">
        <v>9894</v>
      </c>
      <c r="F25" s="14">
        <v>53859</v>
      </c>
      <c r="G25" s="14">
        <v>86039</v>
      </c>
      <c r="H25" s="14">
        <v>58336</v>
      </c>
      <c r="I25" s="14">
        <v>16958</v>
      </c>
      <c r="J25" s="14">
        <v>51367</v>
      </c>
      <c r="K25" s="14">
        <v>45072</v>
      </c>
      <c r="L25" s="14">
        <v>45932</v>
      </c>
      <c r="M25" s="14">
        <v>15049</v>
      </c>
      <c r="N25" s="14">
        <v>7699</v>
      </c>
      <c r="O25" s="12">
        <f t="shared" si="7"/>
        <v>572992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98045</v>
      </c>
      <c r="C26" s="14">
        <v>65136</v>
      </c>
      <c r="D26" s="14">
        <v>63699</v>
      </c>
      <c r="E26" s="14">
        <v>8812</v>
      </c>
      <c r="F26" s="14">
        <v>61020</v>
      </c>
      <c r="G26" s="14">
        <v>87973</v>
      </c>
      <c r="H26" s="14">
        <v>58167</v>
      </c>
      <c r="I26" s="14">
        <v>13924</v>
      </c>
      <c r="J26" s="14">
        <v>72771</v>
      </c>
      <c r="K26" s="14">
        <v>48727</v>
      </c>
      <c r="L26" s="14">
        <v>61189</v>
      </c>
      <c r="M26" s="14">
        <v>20716</v>
      </c>
      <c r="N26" s="14">
        <v>13769</v>
      </c>
      <c r="O26" s="12">
        <f t="shared" si="7"/>
        <v>673948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1059239.2937424802</v>
      </c>
      <c r="C36" s="60">
        <f aca="true" t="shared" si="11" ref="C36:N36">C37+C38+C39+C40</f>
        <v>759999.1469904999</v>
      </c>
      <c r="D36" s="60">
        <f t="shared" si="11"/>
        <v>719510.3494326501</v>
      </c>
      <c r="E36" s="60">
        <f t="shared" si="11"/>
        <v>135533.7628448</v>
      </c>
      <c r="F36" s="60">
        <f t="shared" si="11"/>
        <v>721608.30577745</v>
      </c>
      <c r="G36" s="60">
        <f t="shared" si="11"/>
        <v>907794.1187999999</v>
      </c>
      <c r="H36" s="60">
        <f t="shared" si="11"/>
        <v>748596.8525</v>
      </c>
      <c r="I36" s="60">
        <f>I37+I38+I39+I40</f>
        <v>202172.06030399998</v>
      </c>
      <c r="J36" s="60">
        <f>J37+J38+J39+J40</f>
        <v>836377.9708283999</v>
      </c>
      <c r="K36" s="60">
        <f>K37+K38+K39+K40</f>
        <v>677384.4422216</v>
      </c>
      <c r="L36" s="60">
        <f>L37+L38+L39+L40</f>
        <v>806865.35512272</v>
      </c>
      <c r="M36" s="60">
        <f t="shared" si="11"/>
        <v>388959.94878999994</v>
      </c>
      <c r="N36" s="60">
        <f t="shared" si="11"/>
        <v>226849.70020272</v>
      </c>
      <c r="O36" s="60">
        <f>O37+O38+O39+O40</f>
        <v>8190891.30755732</v>
      </c>
    </row>
    <row r="37" spans="1:15" ht="18.75" customHeight="1">
      <c r="A37" s="57" t="s">
        <v>50</v>
      </c>
      <c r="B37" s="54">
        <f aca="true" t="shared" si="12" ref="B37:N37">B29*B7</f>
        <v>1054451.6532</v>
      </c>
      <c r="C37" s="54">
        <f t="shared" si="12"/>
        <v>755783.3779999999</v>
      </c>
      <c r="D37" s="54">
        <f t="shared" si="12"/>
        <v>709267.7346000001</v>
      </c>
      <c r="E37" s="54">
        <f t="shared" si="12"/>
        <v>135214.89239999998</v>
      </c>
      <c r="F37" s="54">
        <f t="shared" si="12"/>
        <v>721550.0456999999</v>
      </c>
      <c r="G37" s="54">
        <f t="shared" si="12"/>
        <v>903710.1394</v>
      </c>
      <c r="H37" s="54">
        <f t="shared" si="12"/>
        <v>744897.5905</v>
      </c>
      <c r="I37" s="54">
        <f>I29*I7</f>
        <v>202085.712</v>
      </c>
      <c r="J37" s="54">
        <f>J29*J7</f>
        <v>832168.688</v>
      </c>
      <c r="K37" s="54">
        <f>K29*K7</f>
        <v>673685.556</v>
      </c>
      <c r="L37" s="54">
        <f>L29*L7</f>
        <v>802562.0569</v>
      </c>
      <c r="M37" s="54">
        <f t="shared" si="12"/>
        <v>386477.99999999994</v>
      </c>
      <c r="N37" s="54">
        <f t="shared" si="12"/>
        <v>226801.575</v>
      </c>
      <c r="O37" s="56">
        <f>SUM(B37:N37)</f>
        <v>8148657.0217</v>
      </c>
    </row>
    <row r="38" spans="1:15" ht="18.75" customHeight="1">
      <c r="A38" s="57" t="s">
        <v>51</v>
      </c>
      <c r="B38" s="54">
        <f aca="true" t="shared" si="13" ref="B38:N38">B30*B7</f>
        <v>-3126.92945752</v>
      </c>
      <c r="C38" s="54">
        <f t="shared" si="13"/>
        <v>-2198.2510095</v>
      </c>
      <c r="D38" s="54">
        <f t="shared" si="13"/>
        <v>-2107.05516735</v>
      </c>
      <c r="E38" s="54">
        <f t="shared" si="13"/>
        <v>-327.4095552</v>
      </c>
      <c r="F38" s="54">
        <f t="shared" si="13"/>
        <v>-2103.13992255</v>
      </c>
      <c r="G38" s="54">
        <f t="shared" si="13"/>
        <v>-2664.2706000000003</v>
      </c>
      <c r="H38" s="54">
        <f t="shared" si="13"/>
        <v>-2050.748</v>
      </c>
      <c r="I38" s="54">
        <f>I30*I7</f>
        <v>-568.491696</v>
      </c>
      <c r="J38" s="54">
        <f>J30*J7</f>
        <v>-2395.5171716</v>
      </c>
      <c r="K38" s="54">
        <f>K30*K7</f>
        <v>-1926.9737784000001</v>
      </c>
      <c r="L38" s="54">
        <f>L30*L7</f>
        <v>-2357.57177728</v>
      </c>
      <c r="M38" s="54">
        <f t="shared" si="13"/>
        <v>-1127.39121</v>
      </c>
      <c r="N38" s="54">
        <f t="shared" si="13"/>
        <v>-670.91479728</v>
      </c>
      <c r="O38" s="25">
        <f>SUM(B38:N38)</f>
        <v>-23624.664142679998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-104423.26000000001</v>
      </c>
      <c r="C42" s="25">
        <f aca="true" t="shared" si="15" ref="C42:N42">+C43+C46+C58+C59</f>
        <v>-90611.55</v>
      </c>
      <c r="D42" s="25">
        <f t="shared" si="15"/>
        <v>-86692.78</v>
      </c>
      <c r="E42" s="25">
        <f t="shared" si="15"/>
        <v>168818.14</v>
      </c>
      <c r="F42" s="25">
        <f t="shared" si="15"/>
        <v>-93418.72</v>
      </c>
      <c r="G42" s="25">
        <f t="shared" si="15"/>
        <v>-162379.24</v>
      </c>
      <c r="H42" s="25">
        <f t="shared" si="15"/>
        <v>-104641.73999999999</v>
      </c>
      <c r="I42" s="25">
        <f>+I43+I46+I58+I59</f>
        <v>-70406.15</v>
      </c>
      <c r="J42" s="25">
        <f>+J43+J46+J58+J59</f>
        <v>-82932.79999999999</v>
      </c>
      <c r="K42" s="25">
        <f>+K43+K46+K58+K59</f>
        <v>-97817.63</v>
      </c>
      <c r="L42" s="25">
        <f>+L43+L46+L58+L59</f>
        <v>-102910.75</v>
      </c>
      <c r="M42" s="25">
        <f t="shared" si="15"/>
        <v>-52806.56</v>
      </c>
      <c r="N42" s="25">
        <f t="shared" si="15"/>
        <v>-39575.42</v>
      </c>
      <c r="O42" s="25">
        <f>+O43+O46+O58+O59</f>
        <v>-919798.4599999998</v>
      </c>
    </row>
    <row r="43" spans="1:15" ht="18.75" customHeight="1">
      <c r="A43" s="17" t="s">
        <v>55</v>
      </c>
      <c r="B43" s="26">
        <f>B44+B45</f>
        <v>-74350.8</v>
      </c>
      <c r="C43" s="26">
        <f>C44+C45</f>
        <v>-77026</v>
      </c>
      <c r="D43" s="26">
        <f>D44+D45</f>
        <v>-56756.8</v>
      </c>
      <c r="E43" s="26">
        <f>E44+E45</f>
        <v>-5365.6</v>
      </c>
      <c r="F43" s="26">
        <f aca="true" t="shared" si="16" ref="F43:N43">F44+F45</f>
        <v>-46918.6</v>
      </c>
      <c r="G43" s="26">
        <f t="shared" si="16"/>
        <v>-85458.2</v>
      </c>
      <c r="H43" s="26">
        <f t="shared" si="16"/>
        <v>-77406</v>
      </c>
      <c r="I43" s="26">
        <f>I44+I45</f>
        <v>-22496</v>
      </c>
      <c r="J43" s="26">
        <f>J44+J45</f>
        <v>-48731.2</v>
      </c>
      <c r="K43" s="26">
        <f>K44+K45</f>
        <v>-59781.6</v>
      </c>
      <c r="L43" s="26">
        <f>L44+L45</f>
        <v>-47709</v>
      </c>
      <c r="M43" s="26">
        <f t="shared" si="16"/>
        <v>-32725.6</v>
      </c>
      <c r="N43" s="26">
        <f t="shared" si="16"/>
        <v>-21120.4</v>
      </c>
      <c r="O43" s="25">
        <f aca="true" t="shared" si="17" ref="O43:O59">SUM(B43:N43)</f>
        <v>-655845.8</v>
      </c>
    </row>
    <row r="44" spans="1:26" ht="18.75" customHeight="1">
      <c r="A44" s="13" t="s">
        <v>56</v>
      </c>
      <c r="B44" s="20">
        <f>ROUND(-B9*$D$3,2)</f>
        <v>-74350.8</v>
      </c>
      <c r="C44" s="20">
        <f>ROUND(-C9*$D$3,2)</f>
        <v>-77026</v>
      </c>
      <c r="D44" s="20">
        <f>ROUND(-D9*$D$3,2)</f>
        <v>-56756.8</v>
      </c>
      <c r="E44" s="20">
        <f>ROUND(-E9*$D$3,2)</f>
        <v>-5365.6</v>
      </c>
      <c r="F44" s="20">
        <f aca="true" t="shared" si="18" ref="F44:N44">ROUND(-F9*$D$3,2)</f>
        <v>-46918.6</v>
      </c>
      <c r="G44" s="20">
        <f t="shared" si="18"/>
        <v>-85458.2</v>
      </c>
      <c r="H44" s="20">
        <f t="shared" si="18"/>
        <v>-77406</v>
      </c>
      <c r="I44" s="20">
        <f>ROUND(-I9*$D$3,2)</f>
        <v>-22496</v>
      </c>
      <c r="J44" s="20">
        <f>ROUND(-J9*$D$3,2)</f>
        <v>-48731.2</v>
      </c>
      <c r="K44" s="20">
        <f>ROUND(-K9*$D$3,2)</f>
        <v>-59781.6</v>
      </c>
      <c r="L44" s="20">
        <f>ROUND(-L9*$D$3,2)</f>
        <v>-47709</v>
      </c>
      <c r="M44" s="20">
        <f t="shared" si="18"/>
        <v>-32725.6</v>
      </c>
      <c r="N44" s="20">
        <f t="shared" si="18"/>
        <v>-21120.4</v>
      </c>
      <c r="O44" s="46">
        <f t="shared" si="17"/>
        <v>-655845.8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-30072.46</v>
      </c>
      <c r="C46" s="26">
        <f aca="true" t="shared" si="20" ref="C46:O46">SUM(C47:C57)</f>
        <v>-13585.55</v>
      </c>
      <c r="D46" s="26">
        <f t="shared" si="20"/>
        <v>-29935.98</v>
      </c>
      <c r="E46" s="26">
        <f t="shared" si="20"/>
        <v>-73977.43000000001</v>
      </c>
      <c r="F46" s="26">
        <f t="shared" si="20"/>
        <v>-46500.119999999995</v>
      </c>
      <c r="G46" s="26">
        <f t="shared" si="20"/>
        <v>-76921.04000000001</v>
      </c>
      <c r="H46" s="26">
        <f t="shared" si="20"/>
        <v>-27235.739999999998</v>
      </c>
      <c r="I46" s="26">
        <f t="shared" si="20"/>
        <v>-47910.149999999994</v>
      </c>
      <c r="J46" s="26">
        <f t="shared" si="20"/>
        <v>-34201.6</v>
      </c>
      <c r="K46" s="26">
        <f t="shared" si="20"/>
        <v>-38036.03</v>
      </c>
      <c r="L46" s="26">
        <f t="shared" si="20"/>
        <v>-55201.75</v>
      </c>
      <c r="M46" s="26">
        <f t="shared" si="20"/>
        <v>-20080.96</v>
      </c>
      <c r="N46" s="26">
        <f t="shared" si="20"/>
        <v>-18455.019999999997</v>
      </c>
      <c r="O46" s="26">
        <f t="shared" si="20"/>
        <v>-512113.82999999996</v>
      </c>
    </row>
    <row r="47" spans="1:26" ht="18.75" customHeight="1">
      <c r="A47" s="13" t="s">
        <v>59</v>
      </c>
      <c r="B47" s="24">
        <v>-22458.33</v>
      </c>
      <c r="C47" s="24">
        <v>-8262.72</v>
      </c>
      <c r="D47" s="24">
        <v>-23352.76</v>
      </c>
      <c r="E47" s="24">
        <v>-71987.71</v>
      </c>
      <c r="F47" s="24">
        <v>-40745.13</v>
      </c>
      <c r="G47" s="24">
        <v>-69956.33</v>
      </c>
      <c r="H47" s="24">
        <v>-21304.37</v>
      </c>
      <c r="I47" s="24">
        <v>-41929.25</v>
      </c>
      <c r="J47" s="24">
        <v>-28162.35</v>
      </c>
      <c r="K47" s="24">
        <v>-33275.3</v>
      </c>
      <c r="L47" s="24">
        <v>-49513.27</v>
      </c>
      <c r="M47" s="24">
        <v>-17467.46</v>
      </c>
      <c r="N47" s="24">
        <v>-16934.94</v>
      </c>
      <c r="O47" s="24">
        <f t="shared" si="17"/>
        <v>-445349.92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-171</v>
      </c>
      <c r="G48" s="24">
        <v>0</v>
      </c>
      <c r="H48" s="24">
        <v>-273.6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-444.6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-8500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107</v>
      </c>
      <c r="B57" s="24">
        <v>-11659.15</v>
      </c>
      <c r="C57" s="24">
        <v>-8233.88</v>
      </c>
      <c r="D57" s="24">
        <v>-7898.13</v>
      </c>
      <c r="E57" s="24">
        <v>-1545.51</v>
      </c>
      <c r="F57" s="24">
        <v>-7892</v>
      </c>
      <c r="G57" s="24">
        <v>-9952.46</v>
      </c>
      <c r="H57" s="24">
        <v>-8032.68</v>
      </c>
      <c r="I57" s="24">
        <v>-2279.2</v>
      </c>
      <c r="J57" s="24">
        <v>-9299.68</v>
      </c>
      <c r="K57" s="24">
        <v>-7369.93</v>
      </c>
      <c r="L57" s="24">
        <v>-8847.89</v>
      </c>
      <c r="M57" s="24">
        <v>-4055.33</v>
      </c>
      <c r="N57" s="24">
        <v>-2367.37</v>
      </c>
      <c r="O57" s="24">
        <f t="shared" si="17"/>
        <v>-89433.20999999999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0</v>
      </c>
      <c r="C58" s="27">
        <v>0</v>
      </c>
      <c r="D58" s="27">
        <v>0</v>
      </c>
      <c r="E58" s="27">
        <v>248161.17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248161.17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954816.0337424802</v>
      </c>
      <c r="C61" s="29">
        <f t="shared" si="21"/>
        <v>669387.5969904999</v>
      </c>
      <c r="D61" s="29">
        <f t="shared" si="21"/>
        <v>632817.5694326501</v>
      </c>
      <c r="E61" s="29">
        <f t="shared" si="21"/>
        <v>304351.90284480003</v>
      </c>
      <c r="F61" s="29">
        <f t="shared" si="21"/>
        <v>628189.58577745</v>
      </c>
      <c r="G61" s="29">
        <f t="shared" si="21"/>
        <v>745414.8788</v>
      </c>
      <c r="H61" s="29">
        <f t="shared" si="21"/>
        <v>643955.1125</v>
      </c>
      <c r="I61" s="29">
        <f t="shared" si="21"/>
        <v>131765.910304</v>
      </c>
      <c r="J61" s="29">
        <f>+J36+J42</f>
        <v>753445.1708284</v>
      </c>
      <c r="K61" s="29">
        <f>+K36+K42</f>
        <v>579566.8122216</v>
      </c>
      <c r="L61" s="29">
        <f>+L36+L42</f>
        <v>703954.60512272</v>
      </c>
      <c r="M61" s="29">
        <f t="shared" si="21"/>
        <v>336153.38878999994</v>
      </c>
      <c r="N61" s="29">
        <f t="shared" si="21"/>
        <v>187274.28020272002</v>
      </c>
      <c r="O61" s="29">
        <f>SUM(B61:N61)</f>
        <v>7271092.84755732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68</v>
      </c>
      <c r="B64" s="36">
        <f>SUM(B65:B78)</f>
        <v>954816.03</v>
      </c>
      <c r="C64" s="36">
        <f aca="true" t="shared" si="22" ref="C64:N64">SUM(C65:C78)</f>
        <v>669387.5900000001</v>
      </c>
      <c r="D64" s="36">
        <f t="shared" si="22"/>
        <v>632817.56</v>
      </c>
      <c r="E64" s="36">
        <f t="shared" si="22"/>
        <v>304351.9</v>
      </c>
      <c r="F64" s="36">
        <f t="shared" si="22"/>
        <v>628189.59</v>
      </c>
      <c r="G64" s="36">
        <f t="shared" si="22"/>
        <v>745414.88</v>
      </c>
      <c r="H64" s="36">
        <f t="shared" si="22"/>
        <v>643955.11</v>
      </c>
      <c r="I64" s="36">
        <f t="shared" si="22"/>
        <v>131765.91</v>
      </c>
      <c r="J64" s="36">
        <f t="shared" si="22"/>
        <v>753445.1699999999</v>
      </c>
      <c r="K64" s="36">
        <f t="shared" si="22"/>
        <v>579566.8200000001</v>
      </c>
      <c r="L64" s="36">
        <f t="shared" si="22"/>
        <v>703954.61</v>
      </c>
      <c r="M64" s="36">
        <f t="shared" si="22"/>
        <v>336153.39</v>
      </c>
      <c r="N64" s="36">
        <f t="shared" si="22"/>
        <v>187274.29</v>
      </c>
      <c r="O64" s="29">
        <f>SUM(O65:O78)</f>
        <v>7271092.85</v>
      </c>
    </row>
    <row r="65" spans="1:16" ht="18.75" customHeight="1">
      <c r="A65" s="17" t="s">
        <v>69</v>
      </c>
      <c r="B65" s="36">
        <f>187568.69+1150.08</f>
        <v>188718.77</v>
      </c>
      <c r="C65" s="36">
        <f>192114.28+1167.17</f>
        <v>193281.45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382000.22</v>
      </c>
      <c r="P65"/>
    </row>
    <row r="66" spans="1:16" ht="18.75" customHeight="1">
      <c r="A66" s="17" t="s">
        <v>70</v>
      </c>
      <c r="B66" s="36">
        <f>762589.85+3507.41</f>
        <v>766097.26</v>
      </c>
      <c r="C66" s="36">
        <f>473251.81+2854.33</f>
        <v>476106.14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1242203.4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622629.29+10188.27</f>
        <v>632817.56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632817.56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56190.73+248161.17</f>
        <v>304351.9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304351.9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628189.59</f>
        <v>628189.59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628189.59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741328.79+4086.09</f>
        <v>745414.88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745414.88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643955.11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643955.11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131765.91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131765.91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749386.97+4058.2</f>
        <v>753445.1699999999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753445.1699999999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576059.56+3507.26</f>
        <v>579566.8200000001</v>
      </c>
      <c r="L74" s="35">
        <v>0</v>
      </c>
      <c r="M74" s="35">
        <v>0</v>
      </c>
      <c r="N74" s="35">
        <v>0</v>
      </c>
      <c r="O74" s="29">
        <f t="shared" si="23"/>
        <v>579566.8200000001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699895.98+4058.63</f>
        <v>703954.61</v>
      </c>
      <c r="M75" s="35">
        <v>0</v>
      </c>
      <c r="N75" s="61">
        <v>0</v>
      </c>
      <c r="O75" s="26">
        <f t="shared" si="23"/>
        <v>703954.61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333815.21+2338.18</f>
        <v>336153.39</v>
      </c>
      <c r="N76" s="35">
        <v>0</v>
      </c>
      <c r="O76" s="29">
        <f t="shared" si="23"/>
        <v>336153.39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187274.29</f>
        <v>187274.29</v>
      </c>
      <c r="O77" s="26">
        <f t="shared" si="23"/>
        <v>187274.29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2.3338329941069547</v>
      </c>
      <c r="C82" s="44">
        <v>2.3023367384220927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2.038649775940155</v>
      </c>
      <c r="C83" s="44">
        <v>1.9239467228637743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1.8683431434300535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2.600317770707187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2.181476124591356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1.7298959598473218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2.0346242200406874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1.9914505546099288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1.9763587489810939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2.2261330314675334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2.1283486483792817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2.526939665294117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2.4755251721763045</v>
      </c>
      <c r="O94" s="50"/>
      <c r="P94"/>
      <c r="Z94"/>
    </row>
    <row r="95" spans="1:14" ht="21" customHeight="1">
      <c r="A95" s="67" t="s">
        <v>100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" customHeight="1">
      <c r="A96" s="70" t="s">
        <v>104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 ht="15" customHeight="1">
      <c r="A97" s="70" t="s">
        <v>110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spans="1:14" ht="15" customHeight="1">
      <c r="A98" s="70" t="s">
        <v>111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99" spans="1:14" ht="15" customHeight="1">
      <c r="A99" s="70" t="s">
        <v>113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ht="15" customHeight="1">
      <c r="A100" s="70" t="s">
        <v>112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</row>
    <row r="101" ht="14.25">
      <c r="B101" s="40"/>
    </row>
    <row r="102" spans="8:9" ht="14.25">
      <c r="H102" s="41"/>
      <c r="I102" s="41"/>
    </row>
    <row r="104" spans="8:12" ht="14.25">
      <c r="H104" s="42"/>
      <c r="I104" s="42"/>
      <c r="J104" s="43"/>
      <c r="K104" s="43"/>
      <c r="L104" s="43"/>
    </row>
  </sheetData>
  <sheetProtection/>
  <mergeCells count="11">
    <mergeCell ref="A97:N97"/>
    <mergeCell ref="A98:N98"/>
    <mergeCell ref="A99:N99"/>
    <mergeCell ref="A100:N100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2017-11-24T18:35:21Z</dcterms:modified>
  <cp:category/>
  <cp:version/>
  <cp:contentType/>
  <cp:contentStatus/>
</cp:coreProperties>
</file>