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<sst xmlns="http://schemas.openxmlformats.org/spreadsheetml/2006/main" count="108" uniqueCount="106">
  <si>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</si>
  <si>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</si>
  <si>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</si>
  <si>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</si>
  <si>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</si>
  <si>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</si>
  <si>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</si>
  <si>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</si>
  <si>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</si>
  <si>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</si>
  <si>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</si>
  <si>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</si>
  <si>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</si>
  <si>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</si>
  <si>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</si>
  <si>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</si>
  <si>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</si>
  <si>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</si>
  <si>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</si>
  <si>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</si>
  <si>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</si>
  <si>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</si>
  <si>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</si>
  <si>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</si>
  <si>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</si>
  <si>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</si>
  <si>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</si>
  <si>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</si>
  <si>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</si>
  <si>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</si>
  <si>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</si>
  <si>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</si>
  <si>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</si>
  <si>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</si>
  <si>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</si>
  <si>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</si>
  <si>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</si>
  <si>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</si>
  <si>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</si>
  <si>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</si>
  <si>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</si>
  <si>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</si>
  <si>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</si>
  <si>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</si>
  <si>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</si>
  <si>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</si>
  <si>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</si>
  <si>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</si>
  <si>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</si>
  <si>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</si>
  <si>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</si>
  <si>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</si>
  <si>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</si>
  <si>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</si>
  <si>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</si>
  <si>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</si>
  <si>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</si>
  <si>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</si>
  <si>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</si>
  <si>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</si>
  <si>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</si>
  <si>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</si>
  <si>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</si>
  <si>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</si>
  <si>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</si>
  <si>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</si>
  <si>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</si>
  <si>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</si>
  <si>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</si>
  <si>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</si>
  <si>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</si>
  <si>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</si>
  <si>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</si>
  <si>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</si>
  <si>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</si>
  <si>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</si>
  <si>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</si>
  <si>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</si>
  <si>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</si>
  <si>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</si>
  <si>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</si>
  <si>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</si>
  <si>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</si>
  <si>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</si>
  <si>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</si>
  <si>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</si>
  <si>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</si>
  <si>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</si>
  <si>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</si>
  <si>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</si>
  <si>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</si>
  <si>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</si>
  <si>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</si>
  <si>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</si>
  <si>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12/09/17 - VENCIMENTO 19/09/17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</si>
  <si>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</si>
  <si>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</si>
  <si>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</si>
  <si>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</si>
  <si>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</si>
  <si>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</si>
  <si>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5.2.8. Ajuste de Remuneração Previsto Contratualmente (1)</t>
  </si>
  <si>
    <t>8. Tarifa de Remuneração por Passageiro (2)</t>
  </si>
  <si>
    <t>Nota: (1) Ajuste de remuneração previsto contratualmente, período de 25/07 a 24/08/17, parcela 08/16.
             (2) Tarifa de remuneração de cada empresa considerando o  reequilibrio interno estabelecido e informado pelo consórcio. Não consideram os acertos financeiros previstos no item 7.</t>
  </si>
  <si>
    <t>8.7. Movebuss</t>
  </si>
  <si>
    <t>7.7. Movebuss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</si>
</sst>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936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936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936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V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6384" width="9.00390625" style="1" customWidth="1"/>
  </cols>
  <sheetData>
    <row r="1" spans="1:15" ht="2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1">
      <c r="A2" s="67" t="s">
        <v>94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68" t="s">
        <v>1</v>
      </c>
      <c r="B4" s="68" t="s">
        <v>38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 t="s">
        <v>2</v>
      </c>
    </row>
    <row r="5" spans="1:15" ht="42" customHeight="1">
      <c r="A5" s="68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95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68"/>
    </row>
    <row r="6" spans="1:15" ht="20.25" customHeight="1">
      <c r="A6" s="68"/>
      <c r="B6" s="3" t="s">
        <v>21</v>
      </c>
      <c r="C6" s="3" t="s">
        <v>22</v>
      </c>
      <c r="D6" s="3" t="s">
        <v>23</v>
      </c>
      <c r="E6" s="3" t="s">
        <v>97</v>
      </c>
      <c r="F6" s="3" t="s">
        <v>98</v>
      </c>
      <c r="G6" s="3" t="s">
        <v>99</v>
      </c>
      <c r="H6" s="3" t="s">
        <v>29</v>
      </c>
      <c r="I6" s="3" t="s">
        <v>100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68"/>
    </row>
    <row r="7" spans="1:22" ht="18.75" customHeight="1">
      <c r="A7" s="9" t="s">
        <v>3</v>
      </c>
      <c r="B7" s="10">
        <f>B8+B20+B24</f>
        <v>526970</v>
      </c>
      <c r="C7" s="10">
        <f>C8+C20+C24</f>
        <v>398429</v>
      </c>
      <c r="D7" s="10">
        <f>D8+D20+D24</f>
        <v>400282</v>
      </c>
      <c r="E7" s="10">
        <f>E8+E20+E24</f>
        <v>51137</v>
      </c>
      <c r="F7" s="10">
        <f>F8+F20+F24</f>
        <v>349984</v>
      </c>
      <c r="G7" s="10">
        <f>G8+G20+G24</f>
        <v>548050</v>
      </c>
      <c r="H7" s="10">
        <f aca="true" t="shared" si="0" ref="H7:M7">H8+H20+H24</f>
        <v>384416</v>
      </c>
      <c r="I7" s="10">
        <f>I8+I20+I24</f>
        <v>111396</v>
      </c>
      <c r="J7" s="10">
        <f>J8+J20+J24</f>
        <v>432323</v>
      </c>
      <c r="K7" s="10">
        <f>K8+K20+K24</f>
        <v>311746</v>
      </c>
      <c r="L7" s="10">
        <f t="shared" si="0"/>
        <v>386938</v>
      </c>
      <c r="M7" s="10">
        <f t="shared" si="0"/>
        <v>157433</v>
      </c>
      <c r="N7" s="10">
        <f>N8+N20+N24</f>
        <v>94482</v>
      </c>
      <c r="O7" s="10">
        <f>+O8+O20+O24</f>
        <v>4153586</v>
      </c>
      <c r="P7"/>
      <c r="Q7"/>
      <c r="R7"/>
      <c r="S7"/>
      <c r="T7"/>
      <c r="U7"/>
      <c r="V7"/>
    </row>
    <row r="8" spans="1:22" ht="18.75" customHeight="1">
      <c r="A8" s="11" t="s">
        <v>20</v>
      </c>
      <c r="B8" s="12">
        <f>+B9+B12+B16</f>
        <v>214968</v>
      </c>
      <c r="C8" s="12">
        <f>+C9+C12+C16</f>
        <v>176219</v>
      </c>
      <c r="D8" s="12">
        <f>+D9+D12+D16</f>
        <v>190916</v>
      </c>
      <c r="E8" s="12">
        <f>+E9+E12+E16</f>
        <v>21613</v>
      </c>
      <c r="F8" s="12">
        <f>+F9+F12+F16</f>
        <v>152673</v>
      </c>
      <c r="G8" s="12">
        <f>+G9+G12+G16</f>
        <v>247014</v>
      </c>
      <c r="H8" s="12">
        <f aca="true" t="shared" si="1" ref="H8:M8">+H9+H12+H16</f>
        <v>167281</v>
      </c>
      <c r="I8" s="12">
        <f>+I9+I12+I16</f>
        <v>51493</v>
      </c>
      <c r="J8" s="12">
        <f>+J9+J12+J16</f>
        <v>195272</v>
      </c>
      <c r="K8" s="12">
        <f>+K9+K12+K16</f>
        <v>142152</v>
      </c>
      <c r="L8" s="12">
        <f t="shared" si="1"/>
        <v>164092</v>
      </c>
      <c r="M8" s="12">
        <f t="shared" si="1"/>
        <v>77312</v>
      </c>
      <c r="N8" s="12">
        <f>+N9+N12+N16</f>
        <v>47781</v>
      </c>
      <c r="O8" s="12">
        <f>SUM(B8:N8)</f>
        <v>1848786</v>
      </c>
      <c r="P8"/>
      <c r="Q8"/>
      <c r="R8"/>
      <c r="S8"/>
      <c r="T8"/>
      <c r="U8"/>
      <c r="V8"/>
    </row>
    <row r="9" spans="1:22" ht="18.75" customHeight="1">
      <c r="A9" s="13" t="s">
        <v>4</v>
      </c>
      <c r="B9" s="14">
        <v>19083</v>
      </c>
      <c r="C9" s="14">
        <v>20124</v>
      </c>
      <c r="D9" s="14">
        <v>14028</v>
      </c>
      <c r="E9" s="14">
        <v>1445</v>
      </c>
      <c r="F9" s="14">
        <v>11739</v>
      </c>
      <c r="G9" s="14">
        <v>21788</v>
      </c>
      <c r="H9" s="14">
        <v>19211</v>
      </c>
      <c r="I9" s="14">
        <v>6156</v>
      </c>
      <c r="J9" s="14">
        <v>10986</v>
      </c>
      <c r="K9" s="14">
        <v>15291</v>
      </c>
      <c r="L9" s="14">
        <f>11968+94</f>
        <v>12062</v>
      </c>
      <c r="M9" s="14">
        <f>8296+34</f>
        <v>8330</v>
      </c>
      <c r="N9" s="14">
        <f>5516+29</f>
        <v>5545</v>
      </c>
      <c r="O9" s="12">
        <f aca="true" t="shared" si="2" ref="O9:O19">SUM(B9:N9)</f>
        <v>165788</v>
      </c>
      <c r="P9"/>
      <c r="Q9"/>
      <c r="R9"/>
      <c r="S9"/>
      <c r="T9"/>
      <c r="U9"/>
      <c r="V9"/>
    </row>
    <row r="10" spans="1:22" ht="18.75" customHeight="1">
      <c r="A10" s="15" t="s">
        <v>5</v>
      </c>
      <c r="B10" s="14">
        <f>+B9-B11</f>
        <v>19083</v>
      </c>
      <c r="C10" s="14">
        <f>+C9-C11</f>
        <v>20124</v>
      </c>
      <c r="D10" s="14">
        <f>+D9-D11</f>
        <v>14028</v>
      </c>
      <c r="E10" s="14">
        <f>+E9-E11</f>
        <v>1445</v>
      </c>
      <c r="F10" s="14">
        <f>+F9-F11</f>
        <v>11739</v>
      </c>
      <c r="G10" s="14">
        <f>+G9-G11</f>
        <v>21788</v>
      </c>
      <c r="H10" s="14">
        <f aca="true" t="shared" si="3" ref="H10:M10">+H9-H11</f>
        <v>19211</v>
      </c>
      <c r="I10" s="14">
        <f>+I9-I11</f>
        <v>6156</v>
      </c>
      <c r="J10" s="14">
        <f>+J9-J11</f>
        <v>10986</v>
      </c>
      <c r="K10" s="14">
        <f>+K9-K11</f>
        <v>15291</v>
      </c>
      <c r="L10" s="14">
        <f t="shared" si="3"/>
        <v>12062</v>
      </c>
      <c r="M10" s="14">
        <f t="shared" si="3"/>
        <v>8330</v>
      </c>
      <c r="N10" s="14">
        <f>+N9-N11</f>
        <v>5545</v>
      </c>
      <c r="O10" s="12">
        <f t="shared" si="2"/>
        <v>165788</v>
      </c>
      <c r="P10"/>
      <c r="Q10"/>
      <c r="R10"/>
      <c r="S10"/>
      <c r="T10"/>
      <c r="U10"/>
      <c r="V10"/>
    </row>
    <row r="11" spans="1:22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</row>
    <row r="12" spans="1:22" ht="18.75" customHeight="1">
      <c r="A12" s="16" t="s">
        <v>15</v>
      </c>
      <c r="B12" s="14">
        <f>B13+B14+B15</f>
        <v>183941</v>
      </c>
      <c r="C12" s="14">
        <f>C13+C14+C15</f>
        <v>146902</v>
      </c>
      <c r="D12" s="14">
        <f>D13+D14+D15</f>
        <v>167446</v>
      </c>
      <c r="E12" s="14">
        <f>E13+E14+E15</f>
        <v>19038</v>
      </c>
      <c r="F12" s="14">
        <f>F13+F14+F15</f>
        <v>132716</v>
      </c>
      <c r="G12" s="14">
        <f>G13+G14+G15</f>
        <v>210922</v>
      </c>
      <c r="H12" s="14">
        <f aca="true" t="shared" si="4" ref="H12:M12">H13+H14+H15</f>
        <v>139417</v>
      </c>
      <c r="I12" s="14">
        <f>I13+I14+I15</f>
        <v>42665</v>
      </c>
      <c r="J12" s="14">
        <f>J13+J14+J15</f>
        <v>172621</v>
      </c>
      <c r="K12" s="14">
        <f>K13+K14+K15</f>
        <v>119395</v>
      </c>
      <c r="L12" s="14">
        <f t="shared" si="4"/>
        <v>141642</v>
      </c>
      <c r="M12" s="14">
        <f t="shared" si="4"/>
        <v>65146</v>
      </c>
      <c r="N12" s="14">
        <f>N13+N14+N15</f>
        <v>40204</v>
      </c>
      <c r="O12" s="12">
        <f t="shared" si="2"/>
        <v>1582055</v>
      </c>
      <c r="P12"/>
      <c r="Q12"/>
      <c r="R12"/>
      <c r="S12"/>
      <c r="T12"/>
      <c r="U12"/>
      <c r="V12"/>
    </row>
    <row r="13" spans="1:22" ht="18.75" customHeight="1">
      <c r="A13" s="15" t="s">
        <v>7</v>
      </c>
      <c r="B13" s="14">
        <v>85749</v>
      </c>
      <c r="C13" s="14">
        <v>69819</v>
      </c>
      <c r="D13" s="14">
        <v>77110</v>
      </c>
      <c r="E13" s="14">
        <v>8985</v>
      </c>
      <c r="F13" s="14">
        <v>60261</v>
      </c>
      <c r="G13" s="14">
        <v>97860</v>
      </c>
      <c r="H13" s="14">
        <v>68175</v>
      </c>
      <c r="I13" s="14">
        <v>21152</v>
      </c>
      <c r="J13" s="14">
        <v>82749</v>
      </c>
      <c r="K13" s="14">
        <v>55330</v>
      </c>
      <c r="L13" s="14">
        <v>65943</v>
      </c>
      <c r="M13" s="14">
        <v>29810</v>
      </c>
      <c r="N13" s="14">
        <v>17690</v>
      </c>
      <c r="O13" s="12">
        <f t="shared" si="2"/>
        <v>740633</v>
      </c>
      <c r="P13"/>
      <c r="Q13"/>
      <c r="R13"/>
      <c r="S13"/>
      <c r="T13"/>
      <c r="U13"/>
      <c r="V13"/>
    </row>
    <row r="14" spans="1:22" ht="18.75" customHeight="1">
      <c r="A14" s="15" t="s">
        <v>8</v>
      </c>
      <c r="B14" s="14">
        <v>92861</v>
      </c>
      <c r="C14" s="14">
        <v>70377</v>
      </c>
      <c r="D14" s="14">
        <v>86759</v>
      </c>
      <c r="E14" s="14">
        <v>9315</v>
      </c>
      <c r="F14" s="14">
        <v>67697</v>
      </c>
      <c r="G14" s="14">
        <v>103416</v>
      </c>
      <c r="H14" s="14">
        <v>66156</v>
      </c>
      <c r="I14" s="14">
        <v>20045</v>
      </c>
      <c r="J14" s="14">
        <v>86398</v>
      </c>
      <c r="K14" s="14">
        <v>60111</v>
      </c>
      <c r="L14" s="14">
        <v>72018</v>
      </c>
      <c r="M14" s="14">
        <v>33085</v>
      </c>
      <c r="N14" s="14">
        <v>21452</v>
      </c>
      <c r="O14" s="12">
        <f t="shared" si="2"/>
        <v>789690</v>
      </c>
      <c r="P14"/>
      <c r="Q14"/>
      <c r="R14"/>
      <c r="S14"/>
      <c r="T14"/>
      <c r="U14"/>
      <c r="V14"/>
    </row>
    <row r="15" spans="1:22" ht="18.75" customHeight="1">
      <c r="A15" s="15" t="s">
        <v>9</v>
      </c>
      <c r="B15" s="14">
        <v>5331</v>
      </c>
      <c r="C15" s="14">
        <v>6706</v>
      </c>
      <c r="D15" s="14">
        <v>3577</v>
      </c>
      <c r="E15" s="14">
        <v>738</v>
      </c>
      <c r="F15" s="14">
        <v>4758</v>
      </c>
      <c r="G15" s="14">
        <v>9646</v>
      </c>
      <c r="H15" s="14">
        <v>5086</v>
      </c>
      <c r="I15" s="14">
        <v>1468</v>
      </c>
      <c r="J15" s="14">
        <v>3474</v>
      </c>
      <c r="K15" s="14">
        <v>3954</v>
      </c>
      <c r="L15" s="14">
        <v>3681</v>
      </c>
      <c r="M15" s="14">
        <v>2251</v>
      </c>
      <c r="N15" s="14">
        <v>1062</v>
      </c>
      <c r="O15" s="12">
        <f t="shared" si="2"/>
        <v>51732</v>
      </c>
      <c r="P15"/>
      <c r="Q15"/>
      <c r="R15"/>
      <c r="S15"/>
      <c r="T15"/>
      <c r="U15"/>
      <c r="V15"/>
    </row>
    <row r="16" spans="1:15" ht="18.75" customHeight="1">
      <c r="A16" s="16" t="s">
        <v>19</v>
      </c>
      <c r="B16" s="14">
        <f>B17+B18+B19</f>
        <v>11944</v>
      </c>
      <c r="C16" s="14">
        <f>C17+C18+C19</f>
        <v>9193</v>
      </c>
      <c r="D16" s="14">
        <f>D17+D18+D19</f>
        <v>9442</v>
      </c>
      <c r="E16" s="14">
        <f>E17+E18+E19</f>
        <v>1130</v>
      </c>
      <c r="F16" s="14">
        <f>F17+F18+F19</f>
        <v>8218</v>
      </c>
      <c r="G16" s="14">
        <f>G17+G18+G19</f>
        <v>14304</v>
      </c>
      <c r="H16" s="14">
        <f aca="true" t="shared" si="5" ref="H16:M16">H17+H18+H19</f>
        <v>8653</v>
      </c>
      <c r="I16" s="14">
        <f>I17+I18+I19</f>
        <v>2672</v>
      </c>
      <c r="J16" s="14">
        <f>J17+J18+J19</f>
        <v>11665</v>
      </c>
      <c r="K16" s="14">
        <f>K17+K18+K19</f>
        <v>7466</v>
      </c>
      <c r="L16" s="14">
        <f t="shared" si="5"/>
        <v>10388</v>
      </c>
      <c r="M16" s="14">
        <f t="shared" si="5"/>
        <v>3836</v>
      </c>
      <c r="N16" s="14">
        <f>N17+N18+N19</f>
        <v>2032</v>
      </c>
      <c r="O16" s="12">
        <f t="shared" si="2"/>
        <v>100943</v>
      </c>
    </row>
    <row r="17" spans="1:22" ht="18.75" customHeight="1">
      <c r="A17" s="15" t="s">
        <v>16</v>
      </c>
      <c r="B17" s="14">
        <v>11877</v>
      </c>
      <c r="C17" s="14">
        <v>9133</v>
      </c>
      <c r="D17" s="14">
        <v>9366</v>
      </c>
      <c r="E17" s="14">
        <v>1121</v>
      </c>
      <c r="F17" s="14">
        <v>8162</v>
      </c>
      <c r="G17" s="14">
        <v>14210</v>
      </c>
      <c r="H17" s="14">
        <v>8588</v>
      </c>
      <c r="I17" s="14">
        <v>2657</v>
      </c>
      <c r="J17" s="14">
        <v>11593</v>
      </c>
      <c r="K17" s="14">
        <v>7406</v>
      </c>
      <c r="L17" s="14">
        <f>5134+5163</f>
        <v>10297</v>
      </c>
      <c r="M17" s="14">
        <f>1904+1894</f>
        <v>3798</v>
      </c>
      <c r="N17" s="14">
        <f>1016+992</f>
        <v>2008</v>
      </c>
      <c r="O17" s="12">
        <f t="shared" si="2"/>
        <v>100216</v>
      </c>
      <c r="P17"/>
      <c r="Q17"/>
      <c r="R17"/>
      <c r="S17"/>
      <c r="T17"/>
      <c r="U17"/>
      <c r="V17"/>
    </row>
    <row r="18" spans="1:22" ht="18.75" customHeight="1">
      <c r="A18" s="15" t="s">
        <v>17</v>
      </c>
      <c r="B18" s="14">
        <v>64</v>
      </c>
      <c r="C18" s="14">
        <v>54</v>
      </c>
      <c r="D18" s="14">
        <v>73</v>
      </c>
      <c r="E18" s="14">
        <v>9</v>
      </c>
      <c r="F18" s="14">
        <v>50</v>
      </c>
      <c r="G18" s="14">
        <v>86</v>
      </c>
      <c r="H18" s="14">
        <v>60</v>
      </c>
      <c r="I18" s="14">
        <v>15</v>
      </c>
      <c r="J18" s="14">
        <v>63</v>
      </c>
      <c r="K18" s="14">
        <v>55</v>
      </c>
      <c r="L18" s="14">
        <f>54+37</f>
        <v>91</v>
      </c>
      <c r="M18" s="14">
        <f>14+24</f>
        <v>38</v>
      </c>
      <c r="N18" s="14">
        <f>8+16</f>
        <v>24</v>
      </c>
      <c r="O18" s="12">
        <f t="shared" si="2"/>
        <v>682</v>
      </c>
      <c r="P18"/>
      <c r="Q18"/>
      <c r="R18"/>
      <c r="S18"/>
      <c r="T18"/>
      <c r="U18"/>
      <c r="V18"/>
    </row>
    <row r="19" spans="1:22" ht="18.75" customHeight="1">
      <c r="A19" s="15" t="s">
        <v>18</v>
      </c>
      <c r="B19" s="14">
        <v>3</v>
      </c>
      <c r="C19" s="14">
        <v>6</v>
      </c>
      <c r="D19" s="14">
        <v>3</v>
      </c>
      <c r="E19" s="14">
        <v>0</v>
      </c>
      <c r="F19" s="14">
        <v>6</v>
      </c>
      <c r="G19" s="14">
        <v>8</v>
      </c>
      <c r="H19" s="14">
        <v>5</v>
      </c>
      <c r="I19" s="14">
        <v>0</v>
      </c>
      <c r="J19" s="14">
        <v>9</v>
      </c>
      <c r="K19" s="14">
        <v>5</v>
      </c>
      <c r="L19" s="14">
        <v>0</v>
      </c>
      <c r="M19" s="14">
        <v>0</v>
      </c>
      <c r="N19" s="14">
        <v>0</v>
      </c>
      <c r="O19" s="12">
        <f t="shared" si="2"/>
        <v>45</v>
      </c>
      <c r="P19"/>
      <c r="Q19"/>
      <c r="R19"/>
      <c r="S19"/>
      <c r="T19"/>
      <c r="U19"/>
      <c r="V19"/>
    </row>
    <row r="20" spans="1:22" ht="18.75" customHeight="1">
      <c r="A20" s="17" t="s">
        <v>10</v>
      </c>
      <c r="B20" s="18">
        <f>B21+B22+B23</f>
        <v>136254</v>
      </c>
      <c r="C20" s="18">
        <f>C21+C22+C23</f>
        <v>87884</v>
      </c>
      <c r="D20" s="18">
        <f>D21+D22+D23</f>
        <v>81326</v>
      </c>
      <c r="E20" s="18">
        <f>E21+E22+E23</f>
        <v>10559</v>
      </c>
      <c r="F20" s="18">
        <f>F21+F22+F23</f>
        <v>71318</v>
      </c>
      <c r="G20" s="18">
        <f>G21+G22+G23</f>
        <v>112803</v>
      </c>
      <c r="H20" s="18">
        <f aca="true" t="shared" si="6" ref="H20:M20">H21+H22+H23</f>
        <v>92225</v>
      </c>
      <c r="I20" s="18">
        <f>I21+I22+I23</f>
        <v>25971</v>
      </c>
      <c r="J20" s="18">
        <f>J21+J22+J23</f>
        <v>109052</v>
      </c>
      <c r="K20" s="18">
        <f>K21+K22+K23</f>
        <v>72416</v>
      </c>
      <c r="L20" s="18">
        <f t="shared" si="6"/>
        <v>112581</v>
      </c>
      <c r="M20" s="18">
        <f t="shared" si="6"/>
        <v>42917</v>
      </c>
      <c r="N20" s="18">
        <f>N21+N22+N23</f>
        <v>24489</v>
      </c>
      <c r="O20" s="12">
        <f aca="true" t="shared" si="7" ref="O20:O26">SUM(B20:N20)</f>
        <v>979795</v>
      </c>
      <c r="P20"/>
      <c r="Q20"/>
      <c r="R20"/>
      <c r="S20"/>
      <c r="T20"/>
      <c r="U20"/>
      <c r="V20"/>
    </row>
    <row r="21" spans="1:22" ht="18.75" customHeight="1">
      <c r="A21" s="13" t="s">
        <v>11</v>
      </c>
      <c r="B21" s="14">
        <v>68100</v>
      </c>
      <c r="C21" s="14">
        <v>46920</v>
      </c>
      <c r="D21" s="14">
        <v>40800</v>
      </c>
      <c r="E21" s="14">
        <v>5649</v>
      </c>
      <c r="F21" s="14">
        <v>35704</v>
      </c>
      <c r="G21" s="14">
        <v>57798</v>
      </c>
      <c r="H21" s="14">
        <v>50163</v>
      </c>
      <c r="I21" s="14">
        <v>14582</v>
      </c>
      <c r="J21" s="14">
        <v>57822</v>
      </c>
      <c r="K21" s="14">
        <v>37463</v>
      </c>
      <c r="L21" s="14">
        <v>56952</v>
      </c>
      <c r="M21" s="14">
        <v>21866</v>
      </c>
      <c r="N21" s="14">
        <v>12085</v>
      </c>
      <c r="O21" s="12">
        <f t="shared" si="7"/>
        <v>505904</v>
      </c>
      <c r="P21"/>
      <c r="Q21"/>
      <c r="R21"/>
      <c r="S21"/>
      <c r="T21"/>
      <c r="U21"/>
      <c r="V21"/>
    </row>
    <row r="22" spans="1:22" ht="18.75" customHeight="1">
      <c r="A22" s="13" t="s">
        <v>12</v>
      </c>
      <c r="B22" s="14">
        <v>65448</v>
      </c>
      <c r="C22" s="14">
        <v>38627</v>
      </c>
      <c r="D22" s="14">
        <v>39181</v>
      </c>
      <c r="E22" s="14">
        <v>4655</v>
      </c>
      <c r="F22" s="14">
        <v>33847</v>
      </c>
      <c r="G22" s="14">
        <v>51650</v>
      </c>
      <c r="H22" s="14">
        <v>40150</v>
      </c>
      <c r="I22" s="14">
        <v>10884</v>
      </c>
      <c r="J22" s="14">
        <v>49497</v>
      </c>
      <c r="K22" s="14">
        <v>33378</v>
      </c>
      <c r="L22" s="14">
        <v>53601</v>
      </c>
      <c r="M22" s="14">
        <v>20032</v>
      </c>
      <c r="N22" s="14">
        <v>11936</v>
      </c>
      <c r="O22" s="12">
        <f t="shared" si="7"/>
        <v>452886</v>
      </c>
      <c r="P22"/>
      <c r="Q22"/>
      <c r="R22"/>
      <c r="S22"/>
      <c r="T22"/>
      <c r="U22"/>
      <c r="V22"/>
    </row>
    <row r="23" spans="1:22" ht="18.75" customHeight="1">
      <c r="A23" s="13" t="s">
        <v>13</v>
      </c>
      <c r="B23" s="14">
        <v>2706</v>
      </c>
      <c r="C23" s="14">
        <v>2337</v>
      </c>
      <c r="D23" s="14">
        <v>1345</v>
      </c>
      <c r="E23" s="14">
        <v>255</v>
      </c>
      <c r="F23" s="14">
        <v>1767</v>
      </c>
      <c r="G23" s="14">
        <v>3355</v>
      </c>
      <c r="H23" s="14">
        <v>1912</v>
      </c>
      <c r="I23" s="14">
        <v>505</v>
      </c>
      <c r="J23" s="14">
        <v>1733</v>
      </c>
      <c r="K23" s="14">
        <v>1575</v>
      </c>
      <c r="L23" s="14">
        <v>2028</v>
      </c>
      <c r="M23" s="14">
        <v>1019</v>
      </c>
      <c r="N23" s="14">
        <v>468</v>
      </c>
      <c r="O23" s="12">
        <f t="shared" si="7"/>
        <v>21005</v>
      </c>
      <c r="P23"/>
      <c r="Q23"/>
      <c r="R23"/>
      <c r="S23"/>
      <c r="T23"/>
      <c r="U23"/>
      <c r="V23"/>
    </row>
    <row r="24" spans="1:22" ht="18.75" customHeight="1">
      <c r="A24" s="17" t="s">
        <v>14</v>
      </c>
      <c r="B24" s="14">
        <f>B25+B26</f>
        <v>175748</v>
      </c>
      <c r="C24" s="14">
        <f>C25+C26</f>
        <v>134326</v>
      </c>
      <c r="D24" s="14">
        <f>D25+D26</f>
        <v>128040</v>
      </c>
      <c r="E24" s="14">
        <f>E25+E26</f>
        <v>18965</v>
      </c>
      <c r="F24" s="14">
        <f>F25+F26</f>
        <v>125993</v>
      </c>
      <c r="G24" s="14">
        <f>G25+G26</f>
        <v>188233</v>
      </c>
      <c r="H24" s="14">
        <f aca="true" t="shared" si="8" ref="H24:M24">H25+H26</f>
        <v>124910</v>
      </c>
      <c r="I24" s="14">
        <f>I25+I26</f>
        <v>33932</v>
      </c>
      <c r="J24" s="14">
        <f>J25+J26</f>
        <v>127999</v>
      </c>
      <c r="K24" s="14">
        <f>K25+K26</f>
        <v>97178</v>
      </c>
      <c r="L24" s="14">
        <f t="shared" si="8"/>
        <v>110265</v>
      </c>
      <c r="M24" s="14">
        <f t="shared" si="8"/>
        <v>37204</v>
      </c>
      <c r="N24" s="14">
        <f>N25+N26</f>
        <v>22212</v>
      </c>
      <c r="O24" s="12">
        <f t="shared" si="7"/>
        <v>1325005</v>
      </c>
      <c r="P24"/>
      <c r="Q24"/>
      <c r="R24"/>
      <c r="S24"/>
      <c r="T24"/>
      <c r="U24"/>
      <c r="V24"/>
    </row>
    <row r="25" spans="1:22" ht="18.75" customHeight="1">
      <c r="A25" s="13" t="s">
        <v>41</v>
      </c>
      <c r="B25" s="14">
        <v>71253</v>
      </c>
      <c r="C25" s="14">
        <v>62790</v>
      </c>
      <c r="D25" s="14">
        <v>58614</v>
      </c>
      <c r="E25" s="14">
        <v>9973</v>
      </c>
      <c r="F25" s="14">
        <v>58070</v>
      </c>
      <c r="G25" s="14">
        <v>91975</v>
      </c>
      <c r="H25" s="14">
        <v>61709</v>
      </c>
      <c r="I25" s="14">
        <v>18556</v>
      </c>
      <c r="J25" s="14">
        <v>54609</v>
      </c>
      <c r="K25" s="14">
        <v>46795</v>
      </c>
      <c r="L25" s="14">
        <v>46652</v>
      </c>
      <c r="M25" s="14">
        <v>16028</v>
      </c>
      <c r="N25" s="14">
        <v>8479</v>
      </c>
      <c r="O25" s="12">
        <f t="shared" si="7"/>
        <v>605503</v>
      </c>
      <c r="P25"/>
      <c r="Q25"/>
      <c r="R25"/>
      <c r="S25"/>
      <c r="T25"/>
      <c r="U25"/>
      <c r="V25"/>
    </row>
    <row r="26" spans="1:22" ht="18.75" customHeight="1">
      <c r="A26" s="13" t="s">
        <v>42</v>
      </c>
      <c r="B26" s="14">
        <v>104495</v>
      </c>
      <c r="C26" s="14">
        <v>71536</v>
      </c>
      <c r="D26" s="14">
        <v>69426</v>
      </c>
      <c r="E26" s="14">
        <v>8992</v>
      </c>
      <c r="F26" s="14">
        <v>67923</v>
      </c>
      <c r="G26" s="14">
        <v>96258</v>
      </c>
      <c r="H26" s="14">
        <v>63201</v>
      </c>
      <c r="I26" s="14">
        <v>15376</v>
      </c>
      <c r="J26" s="14">
        <v>73390</v>
      </c>
      <c r="K26" s="14">
        <v>50383</v>
      </c>
      <c r="L26" s="14">
        <v>63613</v>
      </c>
      <c r="M26" s="14">
        <v>21176</v>
      </c>
      <c r="N26" s="14">
        <v>13733</v>
      </c>
      <c r="O26" s="12">
        <f t="shared" si="7"/>
        <v>719502</v>
      </c>
      <c r="P26"/>
      <c r="Q26"/>
      <c r="R26"/>
      <c r="S26"/>
      <c r="T26"/>
      <c r="U26"/>
      <c r="V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2" ht="18.75" customHeight="1">
      <c r="A28" s="2" t="s">
        <v>43</v>
      </c>
      <c r="B28" s="23">
        <f>B29+B30</f>
        <v>2.08270546</v>
      </c>
      <c r="C28" s="23">
        <f aca="true" t="shared" si="9" ref="C28:I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2.0285</v>
      </c>
      <c r="I28" s="23">
        <f t="shared" si="9"/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>M29+M30</f>
        <v>2.5186314299999997</v>
      </c>
      <c r="N28" s="23">
        <f>N29+N30</f>
        <v>2.46767856</v>
      </c>
      <c r="O28" s="62"/>
      <c r="P28"/>
      <c r="Q28"/>
      <c r="R28"/>
      <c r="S28"/>
      <c r="T28"/>
      <c r="U28"/>
      <c r="V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2" ht="18.75" customHeight="1">
      <c r="A30" s="51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3"/>
      <c r="P30"/>
      <c r="Q30"/>
      <c r="R30"/>
      <c r="S30"/>
      <c r="T30"/>
      <c r="U30"/>
      <c r="V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46</v>
      </c>
      <c r="B32" s="55">
        <f>B33*B34</f>
        <v>3257.0800000000004</v>
      </c>
      <c r="C32" s="55">
        <f aca="true" t="shared" si="10" ref="C32:I32">C33*C34</f>
        <v>2392.52</v>
      </c>
      <c r="D32" s="55">
        <f t="shared" si="10"/>
        <v>2161.4</v>
      </c>
      <c r="E32" s="55">
        <f t="shared" si="10"/>
        <v>646.2800000000001</v>
      </c>
      <c r="F32" s="55">
        <f t="shared" si="10"/>
        <v>2161.4</v>
      </c>
      <c r="G32" s="55">
        <f t="shared" si="10"/>
        <v>2662.1600000000003</v>
      </c>
      <c r="H32" s="55">
        <f t="shared" si="10"/>
        <v>2242.7200000000003</v>
      </c>
      <c r="I32" s="55">
        <f t="shared" si="10"/>
        <v>654.84</v>
      </c>
      <c r="J32" s="55">
        <f>J33*J34</f>
        <v>2546.6000000000004</v>
      </c>
      <c r="K32" s="55">
        <f>K33*K34</f>
        <v>2118.6</v>
      </c>
      <c r="L32" s="55">
        <f>L33*L34</f>
        <v>2602.2400000000002</v>
      </c>
      <c r="M32" s="55">
        <f>M33*M34</f>
        <v>1271.16</v>
      </c>
      <c r="N32" s="55">
        <f>N33*N34</f>
        <v>719.0400000000001</v>
      </c>
      <c r="O32" s="25">
        <f>SUM(B32:N32)</f>
        <v>25436.04</v>
      </c>
    </row>
    <row r="33" spans="1:22" ht="18.75" customHeight="1">
      <c r="A33" s="51" t="s">
        <v>47</v>
      </c>
      <c r="B33" s="57">
        <v>761</v>
      </c>
      <c r="C33" s="57">
        <v>559</v>
      </c>
      <c r="D33" s="57">
        <v>505</v>
      </c>
      <c r="E33" s="57">
        <v>151</v>
      </c>
      <c r="F33" s="57">
        <v>505</v>
      </c>
      <c r="G33" s="57">
        <v>622</v>
      </c>
      <c r="H33" s="57">
        <v>524</v>
      </c>
      <c r="I33" s="57">
        <v>153</v>
      </c>
      <c r="J33" s="57">
        <v>595</v>
      </c>
      <c r="K33" s="57">
        <v>495</v>
      </c>
      <c r="L33" s="57">
        <v>608</v>
      </c>
      <c r="M33" s="57">
        <v>297</v>
      </c>
      <c r="N33" s="57">
        <v>168</v>
      </c>
      <c r="O33" s="12">
        <f>SUM(B33:N33)</f>
        <v>5943</v>
      </c>
      <c r="P33"/>
      <c r="Q33"/>
      <c r="R33"/>
      <c r="S33"/>
      <c r="T33"/>
      <c r="U33"/>
      <c r="V33"/>
    </row>
    <row r="34" spans="1:22" ht="18.75" customHeight="1">
      <c r="A34" s="51" t="s">
        <v>48</v>
      </c>
      <c r="B34" s="53">
        <v>4.28</v>
      </c>
      <c r="C34" s="53">
        <v>4.28</v>
      </c>
      <c r="D34" s="53">
        <v>4.28</v>
      </c>
      <c r="E34" s="53">
        <v>4.28</v>
      </c>
      <c r="F34" s="53">
        <v>4.28</v>
      </c>
      <c r="G34" s="53">
        <v>4.28</v>
      </c>
      <c r="H34" s="53">
        <v>4.28</v>
      </c>
      <c r="I34" s="53">
        <v>4.28</v>
      </c>
      <c r="J34" s="53">
        <v>4.28</v>
      </c>
      <c r="K34" s="53">
        <v>4.28</v>
      </c>
      <c r="L34" s="53">
        <v>4.28</v>
      </c>
      <c r="M34" s="53">
        <v>4.28</v>
      </c>
      <c r="N34" s="53">
        <v>4.28</v>
      </c>
      <c r="O34" s="53">
        <v>0</v>
      </c>
      <c r="P34"/>
      <c r="Q34"/>
      <c r="R34"/>
      <c r="S34"/>
      <c r="T34"/>
      <c r="U34"/>
      <c r="V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49</v>
      </c>
      <c r="B36" s="59">
        <f>B37+B38+B39+B40</f>
        <v>1101347.5062562001</v>
      </c>
      <c r="C36" s="59">
        <f aca="true" t="shared" si="11" ref="C36:N36">C37+C38+C39+C40</f>
        <v>804083.6629844999</v>
      </c>
      <c r="D36" s="59">
        <f t="shared" si="11"/>
        <v>757934.1373141</v>
      </c>
      <c r="E36" s="59">
        <f t="shared" si="11"/>
        <v>132984.6632208</v>
      </c>
      <c r="F36" s="59">
        <f t="shared" si="11"/>
        <v>763356.3184272</v>
      </c>
      <c r="G36" s="59">
        <f t="shared" si="11"/>
        <v>947938.7999999999</v>
      </c>
      <c r="H36" s="59">
        <f>H37+H38+H39+H40</f>
        <v>785533.936</v>
      </c>
      <c r="I36" s="59">
        <f>I37+I38+I39+I40</f>
        <v>221775.92227919996</v>
      </c>
      <c r="J36" s="59">
        <f>J37+J38+J39+J40</f>
        <v>858415.9283114</v>
      </c>
      <c r="K36" s="59">
        <f>K37+K38+K39+K40</f>
        <v>697432.1914878</v>
      </c>
      <c r="L36" s="59">
        <f>L37+L38+L39+L40</f>
        <v>827529.98723488</v>
      </c>
      <c r="M36" s="59">
        <f t="shared" si="11"/>
        <v>400121.94191918994</v>
      </c>
      <c r="N36" s="59">
        <f t="shared" si="11"/>
        <v>233870.24570592</v>
      </c>
      <c r="O36" s="59">
        <f>O37+O38+O39+O40</f>
        <v>8532325.241141189</v>
      </c>
    </row>
    <row r="37" spans="1:15" ht="18.75" customHeight="1">
      <c r="A37" s="56" t="s">
        <v>50</v>
      </c>
      <c r="B37" s="53">
        <f aca="true" t="shared" si="12" ref="B37:N37">B29*B7</f>
        <v>1100787.6330000001</v>
      </c>
      <c r="C37" s="53">
        <f t="shared" si="12"/>
        <v>804029.722</v>
      </c>
      <c r="D37" s="53">
        <f t="shared" si="12"/>
        <v>747806.8324000001</v>
      </c>
      <c r="E37" s="53">
        <f t="shared" si="12"/>
        <v>132659.6054</v>
      </c>
      <c r="F37" s="53">
        <f t="shared" si="12"/>
        <v>763420.0991999999</v>
      </c>
      <c r="G37" s="53">
        <f t="shared" si="12"/>
        <v>948071.695</v>
      </c>
      <c r="H37" s="53">
        <f>H29*H7</f>
        <v>781940.5856</v>
      </c>
      <c r="I37" s="53">
        <f>I29*I7</f>
        <v>221744.87759999998</v>
      </c>
      <c r="J37" s="53">
        <f>J29*J7</f>
        <v>854270.248</v>
      </c>
      <c r="K37" s="53">
        <f>K29*K7</f>
        <v>693790.723</v>
      </c>
      <c r="L37" s="53">
        <f>L29*L7</f>
        <v>823287.9826</v>
      </c>
      <c r="M37" s="53">
        <f t="shared" si="12"/>
        <v>397675.758</v>
      </c>
      <c r="N37" s="53">
        <f t="shared" si="12"/>
        <v>233842.95</v>
      </c>
      <c r="O37" s="55">
        <f>SUM(B37:N37)</f>
        <v>8503328.7118</v>
      </c>
    </row>
    <row r="38" spans="1:15" ht="18.75" customHeight="1">
      <c r="A38" s="56" t="s">
        <v>51</v>
      </c>
      <c r="B38" s="53">
        <f aca="true" t="shared" si="13" ref="B38:N38">B30*B7</f>
        <v>-3264.3367438</v>
      </c>
      <c r="C38" s="53">
        <f t="shared" si="13"/>
        <v>-2338.5790155</v>
      </c>
      <c r="D38" s="53">
        <f t="shared" si="13"/>
        <v>-2221.5450859</v>
      </c>
      <c r="E38" s="53">
        <f t="shared" si="13"/>
        <v>-321.2221792</v>
      </c>
      <c r="F38" s="53">
        <f t="shared" si="13"/>
        <v>-2225.1807728</v>
      </c>
      <c r="G38" s="53">
        <f t="shared" si="13"/>
        <v>-2795.0550000000003</v>
      </c>
      <c r="H38" s="53">
        <f>H30*H7</f>
        <v>-2152.7296</v>
      </c>
      <c r="I38" s="53">
        <f>I30*I7</f>
        <v>-623.7953208</v>
      </c>
      <c r="J38" s="53">
        <f>J30*J7</f>
        <v>-2459.1396886</v>
      </c>
      <c r="K38" s="53">
        <f>K30*K7</f>
        <v>-1984.4815122</v>
      </c>
      <c r="L38" s="53">
        <f>L30*L7</f>
        <v>-2418.45536512</v>
      </c>
      <c r="M38" s="53">
        <f t="shared" si="13"/>
        <v>-1160.05608081</v>
      </c>
      <c r="N38" s="53">
        <f t="shared" si="13"/>
        <v>-691.74429408</v>
      </c>
      <c r="O38" s="25">
        <f>SUM(B38:N38)</f>
        <v>-24656.320658810004</v>
      </c>
    </row>
    <row r="39" spans="1:15" ht="18.75" customHeight="1">
      <c r="A39" s="56" t="s">
        <v>52</v>
      </c>
      <c r="B39" s="53">
        <f aca="true" t="shared" si="14" ref="B39:N39">B32</f>
        <v>3257.0800000000004</v>
      </c>
      <c r="C39" s="53">
        <f t="shared" si="14"/>
        <v>2392.52</v>
      </c>
      <c r="D39" s="53">
        <f t="shared" si="14"/>
        <v>2161.4</v>
      </c>
      <c r="E39" s="53">
        <f t="shared" si="14"/>
        <v>646.2800000000001</v>
      </c>
      <c r="F39" s="53">
        <f t="shared" si="14"/>
        <v>2161.4</v>
      </c>
      <c r="G39" s="53">
        <f t="shared" si="14"/>
        <v>2662.1600000000003</v>
      </c>
      <c r="H39" s="53">
        <f>H32</f>
        <v>2242.7200000000003</v>
      </c>
      <c r="I39" s="53">
        <f>I32</f>
        <v>654.84</v>
      </c>
      <c r="J39" s="53">
        <f>J32</f>
        <v>2546.6000000000004</v>
      </c>
      <c r="K39" s="53">
        <f>K32</f>
        <v>2118.6</v>
      </c>
      <c r="L39" s="53">
        <f>L32</f>
        <v>2602.2400000000002</v>
      </c>
      <c r="M39" s="53">
        <f t="shared" si="14"/>
        <v>1271.16</v>
      </c>
      <c r="N39" s="53">
        <f t="shared" si="14"/>
        <v>719.0400000000001</v>
      </c>
      <c r="O39" s="55">
        <f>SUM(B39:N39)</f>
        <v>25436.04</v>
      </c>
    </row>
    <row r="40" spans="1:22" ht="18.75" customHeight="1">
      <c r="A40" s="2" t="s">
        <v>53</v>
      </c>
      <c r="B40" s="53">
        <v>567.13</v>
      </c>
      <c r="C40" s="53">
        <v>0</v>
      </c>
      <c r="D40" s="53">
        <v>10187.45</v>
      </c>
      <c r="E40" s="53">
        <v>0</v>
      </c>
      <c r="F40" s="53">
        <v>0</v>
      </c>
      <c r="G40" s="53">
        <v>0</v>
      </c>
      <c r="H40" s="53">
        <v>3503.36</v>
      </c>
      <c r="I40" s="53">
        <v>0</v>
      </c>
      <c r="J40" s="53">
        <v>4058.22</v>
      </c>
      <c r="K40" s="53">
        <v>3507.35</v>
      </c>
      <c r="L40" s="53">
        <v>4058.22</v>
      </c>
      <c r="M40" s="53">
        <v>2335.08</v>
      </c>
      <c r="N40" s="53">
        <v>0</v>
      </c>
      <c r="O40" s="55">
        <f>SUM(B40:N40)</f>
        <v>28216.809999999998</v>
      </c>
      <c r="P40"/>
      <c r="Q40"/>
      <c r="R40"/>
      <c r="S40"/>
      <c r="T40"/>
      <c r="U40"/>
      <c r="V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54</v>
      </c>
      <c r="B42" s="25">
        <f>+B43+B46+B55+B56</f>
        <v>-58767.13999999999</v>
      </c>
      <c r="C42" s="25">
        <f>+C43+C46+C55+C56</f>
        <v>-66506.97</v>
      </c>
      <c r="D42" s="25">
        <f>+D43+D46+D55+D56</f>
        <v>-44028.71</v>
      </c>
      <c r="E42" s="25">
        <f>+E43+E46+E55+E56</f>
        <v>-4227.08</v>
      </c>
      <c r="F42" s="25">
        <f>+F43+F46+F55+F56</f>
        <v>-35394.46</v>
      </c>
      <c r="G42" s="25">
        <f>+G43+G46+G55+G56</f>
        <v>-72413.95999999999</v>
      </c>
      <c r="H42" s="25">
        <f>+H43+H46+H55+H56</f>
        <v>-64079.58</v>
      </c>
      <c r="I42" s="25">
        <f>+I43+I46+I55+I56</f>
        <v>-21864.01</v>
      </c>
      <c r="J42" s="25">
        <f>+J43+J46+J55+J56</f>
        <v>-31606.820000000003</v>
      </c>
      <c r="K42" s="25">
        <f>+K43+K46+K55+K56</f>
        <v>-50045.19</v>
      </c>
      <c r="L42" s="25">
        <f>+L43+L46+L55+L56</f>
        <v>-36079.6</v>
      </c>
      <c r="M42" s="25">
        <f>+M43+M46+M55+M56</f>
        <v>-27160.31</v>
      </c>
      <c r="N42" s="25">
        <f>+N43+N46+N55+N56</f>
        <v>-18952.42</v>
      </c>
      <c r="O42" s="25">
        <f>+O43+O46+O55+O56</f>
        <v>-531126.2499999999</v>
      </c>
    </row>
    <row r="43" spans="1:15" ht="18.75" customHeight="1">
      <c r="A43" s="17" t="s">
        <v>55</v>
      </c>
      <c r="B43" s="26">
        <f>B44+B45</f>
        <v>-72515.4</v>
      </c>
      <c r="C43" s="26">
        <f>C44+C45</f>
        <v>-76471.2</v>
      </c>
      <c r="D43" s="26">
        <f>D44+D45</f>
        <v>-53306.4</v>
      </c>
      <c r="E43" s="26">
        <f>E44+E45</f>
        <v>-5491</v>
      </c>
      <c r="F43" s="26">
        <f>F44+F45</f>
        <v>-44608.2</v>
      </c>
      <c r="G43" s="26">
        <f>G44+G45</f>
        <v>-82794.4</v>
      </c>
      <c r="H43" s="26">
        <f aca="true" t="shared" si="15" ref="H43:M43">H44+H45</f>
        <v>-73001.8</v>
      </c>
      <c r="I43" s="26">
        <f>I44+I45</f>
        <v>-23392.8</v>
      </c>
      <c r="J43" s="26">
        <f>J44+J45</f>
        <v>-41746.8</v>
      </c>
      <c r="K43" s="26">
        <f>K44+K45</f>
        <v>-58105.8</v>
      </c>
      <c r="L43" s="26">
        <f t="shared" si="15"/>
        <v>-45835.6</v>
      </c>
      <c r="M43" s="26">
        <f t="shared" si="15"/>
        <v>-31654</v>
      </c>
      <c r="N43" s="26">
        <f>N44+N45</f>
        <v>-21071</v>
      </c>
      <c r="O43" s="25">
        <f aca="true" t="shared" si="16" ref="O43:O56">SUM(B43:N43)</f>
        <v>-629994.3999999999</v>
      </c>
    </row>
    <row r="44" spans="1:22" ht="18.75" customHeight="1">
      <c r="A44" s="13" t="s">
        <v>56</v>
      </c>
      <c r="B44" s="20">
        <f>ROUND(-B9*$D$3,2)</f>
        <v>-72515.4</v>
      </c>
      <c r="C44" s="20">
        <f>ROUND(-C9*$D$3,2)</f>
        <v>-76471.2</v>
      </c>
      <c r="D44" s="20">
        <f>ROUND(-D9*$D$3,2)</f>
        <v>-53306.4</v>
      </c>
      <c r="E44" s="20">
        <f>ROUND(-E9*$D$3,2)</f>
        <v>-5491</v>
      </c>
      <c r="F44" s="20">
        <f>ROUND(-F9*$D$3,2)</f>
        <v>-44608.2</v>
      </c>
      <c r="G44" s="20">
        <f>ROUND(-G9*$D$3,2)</f>
        <v>-82794.4</v>
      </c>
      <c r="H44" s="20">
        <f aca="true" t="shared" si="17" ref="H44:M44">ROUND(-H9*$D$3,2)</f>
        <v>-73001.8</v>
      </c>
      <c r="I44" s="20">
        <f>ROUND(-I9*$D$3,2)</f>
        <v>-23392.8</v>
      </c>
      <c r="J44" s="20">
        <f>ROUND(-J9*$D$3,2)</f>
        <v>-41746.8</v>
      </c>
      <c r="K44" s="20">
        <f>ROUND(-K9*$D$3,2)</f>
        <v>-58105.8</v>
      </c>
      <c r="L44" s="20">
        <f t="shared" si="17"/>
        <v>-45835.6</v>
      </c>
      <c r="M44" s="20">
        <f t="shared" si="17"/>
        <v>-31654</v>
      </c>
      <c r="N44" s="20">
        <f>ROUND(-N9*$D$3,2)</f>
        <v>-21071</v>
      </c>
      <c r="O44" s="46">
        <f t="shared" si="16"/>
        <v>-629994.3999999999</v>
      </c>
      <c r="P44"/>
      <c r="Q44"/>
      <c r="R44"/>
      <c r="S44"/>
      <c r="T44"/>
      <c r="U44"/>
      <c r="V44"/>
    </row>
    <row r="45" spans="1:22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>ROUND(F11*$D$3,2)</f>
        <v>0</v>
      </c>
      <c r="G45" s="20">
        <f>ROUND(G11*$D$3,2)</f>
        <v>0</v>
      </c>
      <c r="H45" s="20">
        <f aca="true" t="shared" si="18" ref="H45:M45">ROUND(H11*$D$3,2)</f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 t="shared" si="18"/>
        <v>0</v>
      </c>
      <c r="M45" s="20">
        <f t="shared" si="18"/>
        <v>0</v>
      </c>
      <c r="N45" s="20">
        <f>ROUND(N11*$D$3,2)</f>
        <v>0</v>
      </c>
      <c r="O45" s="46">
        <f>SUM(B45:N45)</f>
        <v>0</v>
      </c>
      <c r="P45"/>
      <c r="Q45"/>
      <c r="R45"/>
      <c r="S45"/>
      <c r="T45"/>
      <c r="U45"/>
      <c r="V45"/>
    </row>
    <row r="46" spans="1:15" ht="18.75" customHeight="1">
      <c r="A46" s="17" t="s">
        <v>58</v>
      </c>
      <c r="B46" s="26">
        <f>SUM(B47:B54)</f>
        <v>13748.26</v>
      </c>
      <c r="C46" s="26">
        <f aca="true" t="shared" si="19" ref="C46:O46">SUM(C47:C54)</f>
        <v>9964.23</v>
      </c>
      <c r="D46" s="26">
        <f t="shared" si="19"/>
        <v>9277.69</v>
      </c>
      <c r="E46" s="26">
        <f t="shared" si="19"/>
        <v>1263.92</v>
      </c>
      <c r="F46" s="26">
        <f t="shared" si="19"/>
        <v>9213.74</v>
      </c>
      <c r="G46" s="26">
        <f t="shared" si="19"/>
        <v>10380.44</v>
      </c>
      <c r="H46" s="26">
        <f t="shared" si="19"/>
        <v>8922.22</v>
      </c>
      <c r="I46" s="26">
        <f t="shared" si="19"/>
        <v>1528.79</v>
      </c>
      <c r="J46" s="26">
        <f t="shared" si="19"/>
        <v>10139.98</v>
      </c>
      <c r="K46" s="26">
        <f t="shared" si="19"/>
        <v>8060.61</v>
      </c>
      <c r="L46" s="26">
        <f t="shared" si="19"/>
        <v>9756</v>
      </c>
      <c r="M46" s="26">
        <f t="shared" si="19"/>
        <v>4493.69</v>
      </c>
      <c r="N46" s="26">
        <f t="shared" si="19"/>
        <v>2118.58</v>
      </c>
      <c r="O46" s="26">
        <f t="shared" si="19"/>
        <v>98868.15000000001</v>
      </c>
    </row>
    <row r="47" spans="1:22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6"/>
        <v>0</v>
      </c>
      <c r="P47"/>
      <c r="Q47"/>
      <c r="R47"/>
      <c r="S47"/>
      <c r="T47"/>
      <c r="U47"/>
      <c r="V47"/>
    </row>
    <row r="48" spans="1:22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6"/>
        <v>0</v>
      </c>
      <c r="P48"/>
      <c r="Q48"/>
      <c r="R48"/>
      <c r="S48"/>
      <c r="T48"/>
      <c r="U48"/>
      <c r="V48"/>
    </row>
    <row r="49" spans="1:22" ht="18.75" customHeight="1">
      <c r="A49" s="13" t="s">
        <v>61</v>
      </c>
      <c r="B49" s="24">
        <v>1000</v>
      </c>
      <c r="C49" s="24">
        <v>1000</v>
      </c>
      <c r="D49" s="24">
        <v>500</v>
      </c>
      <c r="E49" s="24">
        <v>-500</v>
      </c>
      <c r="F49" s="24">
        <v>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-500</v>
      </c>
      <c r="O49" s="24">
        <f t="shared" si="16"/>
        <v>500</v>
      </c>
      <c r="P49"/>
      <c r="Q49"/>
      <c r="R49"/>
      <c r="S49"/>
      <c r="T49"/>
      <c r="U49"/>
      <c r="V49"/>
    </row>
    <row r="50" spans="1:22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6"/>
        <v>0</v>
      </c>
      <c r="P50"/>
      <c r="Q50"/>
      <c r="R50"/>
      <c r="S50"/>
      <c r="T50"/>
      <c r="U50"/>
      <c r="V50"/>
    </row>
    <row r="51" spans="1:22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6"/>
        <v>0</v>
      </c>
      <c r="P51"/>
      <c r="Q51"/>
      <c r="R51"/>
      <c r="S51"/>
      <c r="T51"/>
      <c r="U51"/>
      <c r="V51"/>
    </row>
    <row r="52" spans="1:22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6"/>
        <v>0</v>
      </c>
      <c r="P52"/>
      <c r="Q52"/>
      <c r="R52"/>
      <c r="S52"/>
      <c r="T52"/>
      <c r="U52"/>
      <c r="V52"/>
    </row>
    <row r="53" spans="1:22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6"/>
        <v>0</v>
      </c>
      <c r="P53"/>
      <c r="Q53"/>
      <c r="R53"/>
      <c r="S53"/>
      <c r="T53"/>
      <c r="U53"/>
      <c r="V53"/>
    </row>
    <row r="54" spans="1:22" ht="18.75" customHeight="1">
      <c r="A54" s="16" t="s">
        <v>101</v>
      </c>
      <c r="B54" s="24">
        <f>2388.76+10359.5</f>
        <v>12748.26</v>
      </c>
      <c r="C54" s="24">
        <f>2576.36+6387.87</f>
        <v>8964.23</v>
      </c>
      <c r="D54" s="24">
        <v>8777.69</v>
      </c>
      <c r="E54" s="24">
        <v>1763.92</v>
      </c>
      <c r="F54" s="24">
        <v>8713.74</v>
      </c>
      <c r="G54" s="24">
        <v>10880.44</v>
      </c>
      <c r="H54" s="24">
        <v>8922.22</v>
      </c>
      <c r="I54" s="24">
        <v>2528.79</v>
      </c>
      <c r="J54" s="24">
        <v>10139.98</v>
      </c>
      <c r="K54" s="24">
        <v>8060.61</v>
      </c>
      <c r="L54" s="24">
        <v>9756</v>
      </c>
      <c r="M54" s="24">
        <v>4493.69</v>
      </c>
      <c r="N54" s="24">
        <v>2618.58</v>
      </c>
      <c r="O54" s="24">
        <f t="shared" si="16"/>
        <v>98368.15000000001</v>
      </c>
      <c r="P54"/>
      <c r="Q54"/>
      <c r="R54"/>
      <c r="S54"/>
      <c r="T54"/>
      <c r="U54"/>
      <c r="V54"/>
    </row>
    <row r="55" spans="1:22" ht="18.75" customHeight="1">
      <c r="A55" s="17" t="s">
        <v>66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4">
        <f t="shared" si="16"/>
        <v>0</v>
      </c>
      <c r="P55"/>
      <c r="Q55"/>
      <c r="R55"/>
      <c r="S55"/>
      <c r="T55"/>
      <c r="U55"/>
      <c r="V55"/>
    </row>
    <row r="56" spans="1:22" ht="18.75" customHeight="1">
      <c r="A56" s="17" t="s">
        <v>67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4">
        <f t="shared" si="16"/>
        <v>0</v>
      </c>
      <c r="P56"/>
      <c r="Q56"/>
      <c r="R56"/>
      <c r="S56"/>
      <c r="T56"/>
      <c r="U56"/>
      <c r="V56"/>
    </row>
    <row r="57" spans="1:15" ht="15" customHeight="1">
      <c r="A57" s="32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20"/>
    </row>
    <row r="58" spans="1:22" ht="15.75">
      <c r="A58" s="2" t="s">
        <v>68</v>
      </c>
      <c r="B58" s="29">
        <f>+B36+B42</f>
        <v>1042580.3662562001</v>
      </c>
      <c r="C58" s="29">
        <f>+C36+C42</f>
        <v>737576.6929845</v>
      </c>
      <c r="D58" s="29">
        <f>+D36+D42</f>
        <v>713905.4273141001</v>
      </c>
      <c r="E58" s="29">
        <f>+E36+E42</f>
        <v>128757.58322079999</v>
      </c>
      <c r="F58" s="29">
        <f>+F36+F42</f>
        <v>727961.8584272</v>
      </c>
      <c r="G58" s="29">
        <f>+G36+G42</f>
        <v>875524.84</v>
      </c>
      <c r="H58" s="29">
        <f>+H36+H42</f>
        <v>721454.356</v>
      </c>
      <c r="I58" s="29">
        <f>+I36+I42</f>
        <v>199911.91227919995</v>
      </c>
      <c r="J58" s="29">
        <f>+J36+J42</f>
        <v>826809.1083114</v>
      </c>
      <c r="K58" s="29">
        <f>+K36+K42</f>
        <v>647387.0014877999</v>
      </c>
      <c r="L58" s="29">
        <f>+L36+L42</f>
        <v>791450.38723488</v>
      </c>
      <c r="M58" s="29">
        <f>+M36+M42</f>
        <v>372961.63191918994</v>
      </c>
      <c r="N58" s="29">
        <f>+N36+N42</f>
        <v>214917.82570592</v>
      </c>
      <c r="O58" s="29">
        <f>SUM(B58:N58)</f>
        <v>8001198.99114119</v>
      </c>
      <c r="P58"/>
      <c r="Q58"/>
      <c r="R58"/>
      <c r="S58"/>
      <c r="T58"/>
      <c r="U58"/>
      <c r="V58"/>
    </row>
    <row r="59" spans="1:15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/>
    </row>
    <row r="60" spans="1:15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8.75" customHeight="1">
      <c r="A61" s="2" t="s">
        <v>69</v>
      </c>
      <c r="B61" s="36">
        <f>SUM(B62:B75)</f>
        <v>1042580.37</v>
      </c>
      <c r="C61" s="36">
        <f aca="true" t="shared" si="20" ref="C61:N61">SUM(C62:C75)</f>
        <v>737576.7</v>
      </c>
      <c r="D61" s="36">
        <f t="shared" si="20"/>
        <v>713905.42</v>
      </c>
      <c r="E61" s="36">
        <f t="shared" si="20"/>
        <v>128757.59</v>
      </c>
      <c r="F61" s="36">
        <f t="shared" si="20"/>
        <v>727961.86</v>
      </c>
      <c r="G61" s="36">
        <f t="shared" si="20"/>
        <v>875524.84</v>
      </c>
      <c r="H61" s="36">
        <f t="shared" si="20"/>
        <v>721454.36</v>
      </c>
      <c r="I61" s="36">
        <f t="shared" si="20"/>
        <v>199911.91</v>
      </c>
      <c r="J61" s="36">
        <f t="shared" si="20"/>
        <v>826809.11</v>
      </c>
      <c r="K61" s="36">
        <f t="shared" si="20"/>
        <v>647387</v>
      </c>
      <c r="L61" s="36">
        <f t="shared" si="20"/>
        <v>791450.38</v>
      </c>
      <c r="M61" s="36">
        <f t="shared" si="20"/>
        <v>372961.63</v>
      </c>
      <c r="N61" s="36">
        <f t="shared" si="20"/>
        <v>214917.83</v>
      </c>
      <c r="O61" s="29">
        <f>SUM(O62:O75)</f>
        <v>8001199</v>
      </c>
    </row>
    <row r="62" spans="1:16" ht="18.75" customHeight="1">
      <c r="A62" s="17" t="s">
        <v>70</v>
      </c>
      <c r="B62" s="36">
        <v>201329.02</v>
      </c>
      <c r="C62" s="36">
        <v>213538.14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29">
        <f>SUM(B62:N62)</f>
        <v>414867.16000000003</v>
      </c>
      <c r="P62"/>
    </row>
    <row r="63" spans="1:16" ht="18.75" customHeight="1">
      <c r="A63" s="17" t="s">
        <v>71</v>
      </c>
      <c r="B63" s="36">
        <v>841251.35</v>
      </c>
      <c r="C63" s="36">
        <v>524038.56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29">
        <f aca="true" t="shared" si="21" ref="O63:O74">SUM(B63:N63)</f>
        <v>1365289.91</v>
      </c>
      <c r="P63"/>
    </row>
    <row r="64" spans="1:15" ht="18.75" customHeight="1">
      <c r="A64" s="17" t="s">
        <v>72</v>
      </c>
      <c r="B64" s="35">
        <v>0</v>
      </c>
      <c r="C64" s="35">
        <v>0</v>
      </c>
      <c r="D64" s="26">
        <v>713905.42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26">
        <f t="shared" si="21"/>
        <v>713905.42</v>
      </c>
    </row>
    <row r="65" spans="1:15" ht="18.75" customHeight="1">
      <c r="A65" s="17" t="s">
        <v>73</v>
      </c>
      <c r="B65" s="35">
        <v>0</v>
      </c>
      <c r="C65" s="35">
        <v>0</v>
      </c>
      <c r="D65" s="35">
        <v>0</v>
      </c>
      <c r="E65" s="26">
        <v>128757.59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 t="shared" si="21"/>
        <v>128757.59</v>
      </c>
    </row>
    <row r="66" spans="1:15" ht="18.75" customHeight="1">
      <c r="A66" s="17" t="s">
        <v>74</v>
      </c>
      <c r="B66" s="35">
        <v>0</v>
      </c>
      <c r="C66" s="35">
        <v>0</v>
      </c>
      <c r="D66" s="35">
        <v>0</v>
      </c>
      <c r="E66" s="35">
        <v>0</v>
      </c>
      <c r="F66" s="26">
        <v>727961.86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6">
        <f t="shared" si="21"/>
        <v>727961.86</v>
      </c>
    </row>
    <row r="67" spans="1:15" ht="18.75" customHeight="1">
      <c r="A67" s="17" t="s">
        <v>75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875524.84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9">
        <f t="shared" si="21"/>
        <v>875524.84</v>
      </c>
    </row>
    <row r="68" spans="1:17" ht="18.75" customHeight="1">
      <c r="A68" s="17" t="s">
        <v>105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f>717951+3503.36</f>
        <v>721454.36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1"/>
        <v>721454.36</v>
      </c>
      <c r="Q68"/>
    </row>
    <row r="69" spans="1:17" ht="18.75" customHeight="1">
      <c r="A69" s="17" t="s">
        <v>76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6">
        <f>199911.91</f>
        <v>199911.91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9">
        <f t="shared" si="21"/>
        <v>199911.91</v>
      </c>
      <c r="Q69"/>
    </row>
    <row r="70" spans="1:18" ht="18.75" customHeight="1">
      <c r="A70" s="17" t="s">
        <v>77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f>822750.89+4058.22</f>
        <v>826809.11</v>
      </c>
      <c r="K70" s="35">
        <v>0</v>
      </c>
      <c r="L70" s="35">
        <v>0</v>
      </c>
      <c r="M70" s="35">
        <v>0</v>
      </c>
      <c r="N70" s="35">
        <v>0</v>
      </c>
      <c r="O70" s="26">
        <f t="shared" si="21"/>
        <v>826809.11</v>
      </c>
      <c r="R70"/>
    </row>
    <row r="71" spans="1:19" ht="18.75" customHeight="1">
      <c r="A71" s="17" t="s">
        <v>78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f>643879.65+3507.35</f>
        <v>647387</v>
      </c>
      <c r="L71" s="35">
        <v>0</v>
      </c>
      <c r="M71" s="35">
        <v>0</v>
      </c>
      <c r="N71" s="35">
        <v>0</v>
      </c>
      <c r="O71" s="29">
        <f t="shared" si="21"/>
        <v>647387</v>
      </c>
      <c r="S71"/>
    </row>
    <row r="72" spans="1:20" ht="18.75" customHeight="1">
      <c r="A72" s="17" t="s">
        <v>79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f>787392.16+4058.22</f>
        <v>791450.38</v>
      </c>
      <c r="M72" s="35">
        <v>0</v>
      </c>
      <c r="N72" s="35">
        <v>0</v>
      </c>
      <c r="O72" s="26">
        <f t="shared" si="21"/>
        <v>791450.38</v>
      </c>
      <c r="T72"/>
    </row>
    <row r="73" spans="1:21" ht="18.75" customHeight="1">
      <c r="A73" s="17" t="s">
        <v>80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f>370626.55+2335.08</f>
        <v>372961.63</v>
      </c>
      <c r="N73" s="35">
        <v>0</v>
      </c>
      <c r="O73" s="29">
        <f t="shared" si="21"/>
        <v>372961.63</v>
      </c>
      <c r="U73"/>
    </row>
    <row r="74" spans="1:22" ht="18.75" customHeight="1">
      <c r="A74" s="17" t="s">
        <v>81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26">
        <v>214917.83</v>
      </c>
      <c r="O74" s="26">
        <f t="shared" si="21"/>
        <v>214917.83</v>
      </c>
      <c r="P74"/>
      <c r="V74"/>
    </row>
    <row r="75" spans="1:22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/>
      <c r="Q75"/>
      <c r="R75"/>
      <c r="S75"/>
      <c r="T75"/>
      <c r="U75"/>
      <c r="V75"/>
    </row>
    <row r="76" spans="1:15" ht="17.25" customHeight="1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</row>
    <row r="77" spans="1:15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/>
    </row>
    <row r="78" spans="1:15" ht="18.75" customHeight="1">
      <c r="A78" s="2" t="s">
        <v>102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29"/>
    </row>
    <row r="79" spans="1:16" ht="18.75" customHeight="1">
      <c r="A79" s="17" t="s">
        <v>82</v>
      </c>
      <c r="B79" s="44">
        <v>2.333835750283063</v>
      </c>
      <c r="C79" s="44">
        <v>2.2948979504115936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44">
        <v>0</v>
      </c>
      <c r="L79" s="35">
        <v>0</v>
      </c>
      <c r="M79" s="44">
        <v>0</v>
      </c>
      <c r="N79" s="44">
        <v>0</v>
      </c>
      <c r="O79" s="29"/>
      <c r="P79"/>
    </row>
    <row r="80" spans="1:16" ht="18.75" customHeight="1">
      <c r="A80" s="17" t="s">
        <v>83</v>
      </c>
      <c r="B80" s="44">
        <v>2.0383773395226195</v>
      </c>
      <c r="C80" s="44">
        <v>1.9236102022263075</v>
      </c>
      <c r="D80" s="44">
        <v>0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44">
        <v>0</v>
      </c>
      <c r="L80" s="35">
        <v>0</v>
      </c>
      <c r="M80" s="44">
        <v>0</v>
      </c>
      <c r="N80" s="44">
        <v>0</v>
      </c>
      <c r="O80" s="29"/>
      <c r="P80"/>
    </row>
    <row r="81" spans="1:15" ht="18.75" customHeight="1">
      <c r="A81" s="17" t="s">
        <v>84</v>
      </c>
      <c r="B81" s="44">
        <v>0</v>
      </c>
      <c r="C81" s="44">
        <v>0</v>
      </c>
      <c r="D81" s="22">
        <f>(D$37+D$38+D$39)/D$7</f>
        <v>1.8680497432162828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44">
        <v>0</v>
      </c>
      <c r="L81" s="35">
        <v>0</v>
      </c>
      <c r="M81" s="44">
        <v>0</v>
      </c>
      <c r="N81" s="44">
        <v>0</v>
      </c>
      <c r="O81" s="26"/>
    </row>
    <row r="82" spans="1:15" ht="18.75" customHeight="1">
      <c r="A82" s="17" t="s">
        <v>85</v>
      </c>
      <c r="B82" s="44">
        <v>0</v>
      </c>
      <c r="C82" s="44">
        <v>0</v>
      </c>
      <c r="D82" s="44">
        <v>0</v>
      </c>
      <c r="E82" s="22">
        <f>(E$37+E$38+E$39)/E$7</f>
        <v>2.6005566071689774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</row>
    <row r="83" spans="1:15" ht="18.75" customHeight="1">
      <c r="A83" s="17" t="s">
        <v>86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2.1811177608896406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6"/>
    </row>
    <row r="84" spans="1:15" ht="18.75" customHeight="1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1.7296575130006384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9"/>
    </row>
    <row r="85" spans="1:17" ht="18.75" customHeight="1">
      <c r="A85" s="17" t="s">
        <v>104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f>(H$37+H$38+H$39)/H$7</f>
        <v>2.0343340963955714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Q85"/>
    </row>
    <row r="86" spans="1:17" ht="18.75" customHeight="1">
      <c r="A86" s="17" t="s">
        <v>88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1.9908786875579012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9"/>
      <c r="Q86"/>
    </row>
    <row r="87" spans="1:18" ht="18.75" customHeight="1">
      <c r="A87" s="17" t="s">
        <v>89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1.9762023031654574</v>
      </c>
      <c r="K87" s="44">
        <v>0</v>
      </c>
      <c r="L87" s="35">
        <v>0</v>
      </c>
      <c r="M87" s="44">
        <v>0</v>
      </c>
      <c r="N87" s="44">
        <v>0</v>
      </c>
      <c r="O87" s="26"/>
      <c r="R87"/>
    </row>
    <row r="88" spans="1:19" ht="18.75" customHeight="1">
      <c r="A88" s="17" t="s">
        <v>90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44">
        <f>(K$37+K$38+K$39)/K$7</f>
        <v>2.2259302171889934</v>
      </c>
      <c r="L88" s="35">
        <v>0</v>
      </c>
      <c r="M88" s="44">
        <v>0</v>
      </c>
      <c r="N88" s="44">
        <v>0</v>
      </c>
      <c r="O88" s="29"/>
      <c r="S88"/>
    </row>
    <row r="89" spans="1:20" ht="18.75" customHeight="1">
      <c r="A89" s="17" t="s">
        <v>91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2.1281749717910365</v>
      </c>
      <c r="M89" s="44">
        <v>0</v>
      </c>
      <c r="N89" s="44">
        <v>0</v>
      </c>
      <c r="O89" s="26"/>
      <c r="T89"/>
    </row>
    <row r="90" spans="1:21" ht="18.75" customHeight="1">
      <c r="A90" s="17" t="s">
        <v>92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f>(M$37+M$38+M$39)/M$7</f>
        <v>2.526705721921007</v>
      </c>
      <c r="N90" s="44">
        <v>0</v>
      </c>
      <c r="O90" s="60"/>
      <c r="U90"/>
    </row>
    <row r="91" spans="1:22" ht="18.75" customHeight="1">
      <c r="A91" s="34" t="s">
        <v>93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f>(N$37+N$38+N$39)/N$7</f>
        <v>2.4752888984771704</v>
      </c>
      <c r="O91" s="49"/>
      <c r="P91"/>
      <c r="V91"/>
    </row>
    <row r="92" spans="1:13" ht="57.75" customHeight="1">
      <c r="A92" s="70" t="s">
        <v>103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</row>
    <row r="95" ht="14.25">
      <c r="B95" s="40"/>
    </row>
    <row r="96" spans="8:9" ht="14.25">
      <c r="H96" s="41"/>
      <c r="I96" s="41"/>
    </row>
    <row r="97" ht="14.25"/>
    <row r="98" spans="8:12" ht="14.25">
      <c r="H98" s="42"/>
      <c r="I98" s="42"/>
      <c r="J98" s="43"/>
      <c r="K98" s="43"/>
      <c r="L98" s="43"/>
    </row>
  </sheetData>
  <sheetProtection/>
  <mergeCells count="7">
    <mergeCell ref="A92:M92"/>
    <mergeCell ref="A76:O76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2017-09-20T21:14:16Z</dcterms:modified>
  <cp:category/>
  <cp:version/>
  <cp:contentType/>
  <cp:contentStatus/>
</cp:coreProperties>
</file>