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parceriassa.sharepoint.com/sites/sppdiri/Documentos Compartilhados/02. Projetos GProj I/04. Esplanada Liberdade/05. PMI - Fase 1/09. Estudos Recebidos/Estudos Finais/Ekya/Arquivos/"/>
    </mc:Choice>
  </mc:AlternateContent>
  <xr:revisionPtr revIDLastSave="76" documentId="13_ncr:1_{B2EE9107-BFB8-41B5-8266-41253B49F38D}" xr6:coauthVersionLast="47" xr6:coauthVersionMax="47" xr10:uidLastSave="{1853647C-EE03-4690-8199-7B549000643D}"/>
  <bookViews>
    <workbookView xWindow="28680" yWindow="-2955" windowWidth="29040" windowHeight="15720" xr2:uid="{00000000-000D-0000-FFFF-FFFF00000000}"/>
  </bookViews>
  <sheets>
    <sheet name="ORC" sheetId="1" r:id="rId1"/>
  </sheets>
  <definedNames>
    <definedName name="_xlnm.Print_Area" localSheetId="0">ORC!$A$1:$L$453</definedName>
    <definedName name="_xlnm.Print_Titles" localSheetId="0">ORC!$11:$12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9" i="1" l="1"/>
  <c r="J362" i="1"/>
  <c r="J336" i="1" l="1"/>
  <c r="J335" i="1"/>
  <c r="J334" i="1"/>
  <c r="J333" i="1"/>
  <c r="J331" i="1"/>
  <c r="J330" i="1"/>
  <c r="J329" i="1"/>
  <c r="J327" i="1"/>
  <c r="J325" i="1"/>
  <c r="J323" i="1"/>
  <c r="J309" i="1" l="1"/>
  <c r="J283" i="1"/>
  <c r="J282" i="1"/>
  <c r="D104" i="1" l="1"/>
  <c r="J104" i="1" s="1"/>
  <c r="D103" i="1"/>
  <c r="J103" i="1" s="1"/>
  <c r="D100" i="1"/>
  <c r="D106" i="1"/>
  <c r="D105" i="1"/>
  <c r="J105" i="1" s="1"/>
  <c r="J107" i="1"/>
  <c r="J106" i="1"/>
  <c r="J100" i="1"/>
  <c r="J99" i="1"/>
  <c r="D102" i="1" l="1"/>
  <c r="J102" i="1" s="1"/>
  <c r="J101" i="1"/>
  <c r="J98" i="1" l="1"/>
  <c r="D18" i="1"/>
  <c r="D19" i="1"/>
  <c r="G445" i="1"/>
  <c r="J445" i="1" s="1"/>
  <c r="J447" i="1" l="1"/>
  <c r="J442" i="1"/>
  <c r="D59" i="1"/>
  <c r="J59" i="1" s="1"/>
  <c r="J408" i="1"/>
  <c r="J407" i="1" s="1"/>
  <c r="J406" i="1"/>
  <c r="J405" i="1" s="1"/>
  <c r="J403" i="1"/>
  <c r="J400" i="1"/>
  <c r="J399" i="1"/>
  <c r="D425" i="1"/>
  <c r="J359" i="1"/>
  <c r="J360" i="1"/>
  <c r="J361" i="1"/>
  <c r="J363" i="1"/>
  <c r="J364" i="1"/>
  <c r="J365" i="1"/>
  <c r="J366" i="1"/>
  <c r="J383" i="1"/>
  <c r="J382" i="1"/>
  <c r="J381" i="1"/>
  <c r="J380" i="1"/>
  <c r="J398" i="1" l="1"/>
  <c r="J319" i="1"/>
  <c r="J223" i="1"/>
  <c r="J222" i="1"/>
  <c r="J221" i="1"/>
  <c r="J220" i="1"/>
  <c r="J219" i="1"/>
  <c r="J224" i="1" l="1"/>
  <c r="J414" i="1" l="1"/>
  <c r="J379" i="1" l="1"/>
  <c r="J377" i="1"/>
  <c r="J376" i="1"/>
  <c r="J375" i="1"/>
  <c r="J374" i="1"/>
  <c r="J373" i="1"/>
  <c r="J343" i="1" l="1"/>
  <c r="J218" i="1"/>
  <c r="J357" i="1" l="1"/>
  <c r="J274" i="1"/>
  <c r="J272" i="1"/>
  <c r="J271" i="1"/>
  <c r="J270" i="1"/>
  <c r="J269" i="1"/>
  <c r="J267" i="1"/>
  <c r="J266" i="1"/>
  <c r="J265" i="1"/>
  <c r="J264" i="1"/>
  <c r="J263" i="1"/>
  <c r="J262" i="1"/>
  <c r="J261" i="1"/>
  <c r="J245" i="1"/>
  <c r="J244" i="1"/>
  <c r="J243" i="1"/>
  <c r="J242" i="1"/>
  <c r="J231" i="1"/>
  <c r="J230" i="1"/>
  <c r="J229" i="1"/>
  <c r="J228" i="1"/>
  <c r="J423" i="1"/>
  <c r="J422" i="1"/>
  <c r="D33" i="1"/>
  <c r="J33" i="1" s="1"/>
  <c r="J116" i="1"/>
  <c r="J124" i="1"/>
  <c r="G29" i="1"/>
  <c r="D45" i="1"/>
  <c r="D47" i="1" s="1"/>
  <c r="J18" i="1"/>
  <c r="J17" i="1"/>
  <c r="D22" i="1"/>
  <c r="J22" i="1" s="1"/>
  <c r="J19" i="1"/>
  <c r="D20" i="1"/>
  <c r="J20" i="1" s="1"/>
  <c r="D21" i="1"/>
  <c r="J21" i="1" s="1"/>
  <c r="J421" i="1" l="1"/>
  <c r="J225" i="1"/>
  <c r="J260" i="1"/>
  <c r="G56" i="1"/>
  <c r="J56" i="1" s="1"/>
  <c r="J25" i="1"/>
  <c r="J32" i="1"/>
  <c r="D30" i="1"/>
  <c r="J30" i="1" s="1"/>
  <c r="J55" i="1"/>
  <c r="G54" i="1"/>
  <c r="J58" i="1"/>
  <c r="J57" i="1"/>
  <c r="J318" i="1"/>
  <c r="J317" i="1" s="1"/>
  <c r="J387" i="1"/>
  <c r="J388" i="1"/>
  <c r="J389" i="1"/>
  <c r="J390" i="1"/>
  <c r="J391" i="1"/>
  <c r="J385" i="1"/>
  <c r="J396" i="1"/>
  <c r="J393" i="1"/>
  <c r="D16" i="1" l="1"/>
  <c r="J15" i="1"/>
  <c r="J52" i="1"/>
  <c r="J54" i="1"/>
  <c r="D53" i="1"/>
  <c r="J53" i="1" s="1"/>
  <c r="J51" i="1" l="1"/>
  <c r="D40" i="1"/>
  <c r="J40" i="1" s="1"/>
  <c r="D39" i="1"/>
  <c r="J39" i="1" s="1"/>
  <c r="D38" i="1"/>
  <c r="J38" i="1" s="1"/>
  <c r="D37" i="1"/>
  <c r="J37" i="1" s="1"/>
  <c r="D36" i="1"/>
  <c r="D342" i="1" l="1"/>
  <c r="J342" i="1" s="1"/>
  <c r="D341" i="1"/>
  <c r="J341" i="1" s="1"/>
  <c r="D340" i="1"/>
  <c r="J340" i="1" s="1"/>
  <c r="D339" i="1"/>
  <c r="J339" i="1" s="1"/>
  <c r="D332" i="1"/>
  <c r="J332" i="1" s="1"/>
  <c r="D326" i="1"/>
  <c r="J326" i="1" s="1"/>
  <c r="D328" i="1"/>
  <c r="J328" i="1" s="1"/>
  <c r="D322" i="1"/>
  <c r="J322" i="1" s="1"/>
  <c r="D324" i="1"/>
  <c r="J324" i="1" s="1"/>
  <c r="D293" i="1"/>
  <c r="J293" i="1" s="1"/>
  <c r="D297" i="1"/>
  <c r="J297" i="1" s="1"/>
  <c r="D302" i="1"/>
  <c r="J302" i="1" s="1"/>
  <c r="D303" i="1"/>
  <c r="J303" i="1" s="1"/>
  <c r="D310" i="1"/>
  <c r="J310" i="1" s="1"/>
  <c r="J320" i="1" l="1"/>
  <c r="J276" i="1"/>
  <c r="J337" i="1"/>
  <c r="D241" i="1"/>
  <c r="J241" i="1" s="1"/>
  <c r="D240" i="1"/>
  <c r="J240" i="1" s="1"/>
  <c r="D394" i="1"/>
  <c r="J394" i="1" s="1"/>
  <c r="D395" i="1"/>
  <c r="J395" i="1" s="1"/>
  <c r="D386" i="1"/>
  <c r="J386" i="1" s="1"/>
  <c r="J384" i="1" s="1"/>
  <c r="J239" i="1" l="1"/>
  <c r="J217" i="1" s="1"/>
  <c r="J392" i="1"/>
  <c r="D371" i="1"/>
  <c r="J371" i="1" s="1"/>
  <c r="D372" i="1"/>
  <c r="J372" i="1" s="1"/>
  <c r="D370" i="1"/>
  <c r="J370" i="1" s="1"/>
  <c r="J368" i="1" l="1"/>
  <c r="D26" i="1"/>
  <c r="J16" i="1" l="1"/>
  <c r="J14" i="1" s="1"/>
  <c r="J31" i="1" l="1"/>
  <c r="J28" i="1" l="1"/>
  <c r="D27" i="1"/>
  <c r="J27" i="1" s="1"/>
  <c r="J24" i="1"/>
  <c r="J29" i="1" l="1"/>
  <c r="J26" i="1"/>
  <c r="J348" i="1"/>
  <c r="J347" i="1"/>
  <c r="J178" i="1"/>
  <c r="J177" i="1"/>
  <c r="J23" i="1" l="1"/>
  <c r="J13" i="1" s="1"/>
  <c r="D150" i="1"/>
  <c r="D148" i="1"/>
  <c r="D149" i="1"/>
  <c r="J148" i="1" l="1"/>
  <c r="D68" i="1"/>
  <c r="J68" i="1" s="1"/>
  <c r="D67" i="1"/>
  <c r="J67" i="1" s="1"/>
  <c r="D66" i="1"/>
  <c r="J66" i="1" s="1"/>
  <c r="D65" i="1"/>
  <c r="D46" i="1"/>
  <c r="D44" i="1"/>
  <c r="D125" i="1"/>
  <c r="J125" i="1" s="1"/>
  <c r="D419" i="1"/>
  <c r="J69" i="1"/>
  <c r="J133" i="1"/>
  <c r="J418" i="1" l="1"/>
  <c r="D74" i="1" l="1"/>
  <c r="J74" i="1" s="1"/>
  <c r="D73" i="1"/>
  <c r="J73" i="1" s="1"/>
  <c r="D72" i="1"/>
  <c r="J72" i="1" s="1"/>
  <c r="D71" i="1"/>
  <c r="J71" i="1" s="1"/>
  <c r="D417" i="1"/>
  <c r="J70" i="1" l="1"/>
  <c r="D432" i="1"/>
  <c r="J432" i="1" s="1"/>
  <c r="D431" i="1"/>
  <c r="J431" i="1" s="1"/>
  <c r="J425" i="1"/>
  <c r="J424" i="1" s="1"/>
  <c r="D420" i="1" l="1"/>
  <c r="J420" i="1" s="1"/>
  <c r="J417" i="1" l="1"/>
  <c r="J419" i="1"/>
  <c r="J416" i="1" l="1"/>
  <c r="D216" i="1"/>
  <c r="J216" i="1" s="1"/>
  <c r="D215" i="1"/>
  <c r="J215" i="1" s="1"/>
  <c r="D211" i="1"/>
  <c r="J211" i="1" s="1"/>
  <c r="D209" i="1"/>
  <c r="D207" i="1"/>
  <c r="J207" i="1" s="1"/>
  <c r="D208" i="1"/>
  <c r="J208" i="1" s="1"/>
  <c r="D206" i="1"/>
  <c r="J206" i="1" s="1"/>
  <c r="D205" i="1"/>
  <c r="J205" i="1" s="1"/>
  <c r="D204" i="1"/>
  <c r="J204" i="1" s="1"/>
  <c r="D203" i="1"/>
  <c r="J203" i="1" s="1"/>
  <c r="J209" i="1"/>
  <c r="D201" i="1"/>
  <c r="J201" i="1" s="1"/>
  <c r="D200" i="1"/>
  <c r="J200" i="1" s="1"/>
  <c r="D199" i="1"/>
  <c r="J199" i="1" s="1"/>
  <c r="D198" i="1"/>
  <c r="J198" i="1" s="1"/>
  <c r="D197" i="1"/>
  <c r="J197" i="1" s="1"/>
  <c r="D196" i="1"/>
  <c r="J196" i="1" s="1"/>
  <c r="D195" i="1"/>
  <c r="J195" i="1" s="1"/>
  <c r="D194" i="1"/>
  <c r="J194" i="1" s="1"/>
  <c r="D193" i="1"/>
  <c r="J193" i="1" s="1"/>
  <c r="D192" i="1"/>
  <c r="J192" i="1" s="1"/>
  <c r="D191" i="1"/>
  <c r="J191" i="1" s="1"/>
  <c r="D190" i="1"/>
  <c r="J190" i="1" s="1"/>
  <c r="D189" i="1"/>
  <c r="J189" i="1" s="1"/>
  <c r="D188" i="1"/>
  <c r="D187" i="1"/>
  <c r="D186" i="1"/>
  <c r="D185" i="1"/>
  <c r="D184" i="1"/>
  <c r="D181" i="1"/>
  <c r="J181" i="1" s="1"/>
  <c r="J180" i="1" s="1"/>
  <c r="J176" i="1"/>
  <c r="J175" i="1"/>
  <c r="J174" i="1"/>
  <c r="J172" i="1"/>
  <c r="J171" i="1"/>
  <c r="J169" i="1"/>
  <c r="J170" i="1"/>
  <c r="J168" i="1"/>
  <c r="J167" i="1"/>
  <c r="J166" i="1"/>
  <c r="D163" i="1"/>
  <c r="J163" i="1" s="1"/>
  <c r="J162" i="1"/>
  <c r="J160" i="1"/>
  <c r="D156" i="1"/>
  <c r="J156" i="1" s="1"/>
  <c r="D155" i="1"/>
  <c r="J155" i="1" s="1"/>
  <c r="J154" i="1"/>
  <c r="D142" i="1"/>
  <c r="J202" i="1" l="1"/>
  <c r="J149" i="1"/>
  <c r="J150" i="1"/>
  <c r="G146" i="1"/>
  <c r="D146" i="1"/>
  <c r="D145" i="1"/>
  <c r="G145" i="1"/>
  <c r="D144" i="1"/>
  <c r="J144" i="1" s="1"/>
  <c r="D143" i="1"/>
  <c r="J143" i="1" s="1"/>
  <c r="J142" i="1"/>
  <c r="D141" i="1"/>
  <c r="J141" i="1" s="1"/>
  <c r="D140" i="1"/>
  <c r="J140" i="1" s="1"/>
  <c r="D139" i="1"/>
  <c r="J139" i="1" s="1"/>
  <c r="D138" i="1"/>
  <c r="G138" i="1"/>
  <c r="D137" i="1"/>
  <c r="J137" i="1" s="1"/>
  <c r="D136" i="1"/>
  <c r="J136" i="1" s="1"/>
  <c r="D147" i="1"/>
  <c r="J79" i="1"/>
  <c r="J145" i="1" l="1"/>
  <c r="J146" i="1"/>
  <c r="J138" i="1"/>
  <c r="D130" i="1"/>
  <c r="J130" i="1" s="1"/>
  <c r="D92" i="1" l="1"/>
  <c r="J92" i="1" s="1"/>
  <c r="G47" i="1"/>
  <c r="J47" i="1" s="1"/>
  <c r="G46" i="1"/>
  <c r="J46" i="1" s="1"/>
  <c r="J45" i="1"/>
  <c r="G44" i="1"/>
  <c r="J44" i="1" s="1"/>
  <c r="D437" i="1"/>
  <c r="J437" i="1" s="1"/>
  <c r="J439" i="1"/>
  <c r="D446" i="1"/>
  <c r="J446" i="1" s="1"/>
  <c r="J444" i="1"/>
  <c r="J436" i="1"/>
  <c r="J435" i="1"/>
  <c r="J434" i="1" l="1"/>
  <c r="D429" i="1"/>
  <c r="J429" i="1" s="1"/>
  <c r="D430" i="1"/>
  <c r="J430" i="1" s="1"/>
  <c r="D428" i="1"/>
  <c r="J428" i="1" s="1"/>
  <c r="D427" i="1"/>
  <c r="J427" i="1" s="1"/>
  <c r="J415" i="1"/>
  <c r="J426" i="1" l="1"/>
  <c r="J402" i="1"/>
  <c r="J401" i="1" s="1"/>
  <c r="J397" i="1" s="1"/>
  <c r="D354" i="1" l="1"/>
  <c r="J354" i="1" s="1"/>
  <c r="D214" i="1"/>
  <c r="J214" i="1" s="1"/>
  <c r="D213" i="1"/>
  <c r="D212" i="1"/>
  <c r="J212" i="1" s="1"/>
  <c r="J213" i="1"/>
  <c r="J187" i="1"/>
  <c r="J173" i="1"/>
  <c r="J165" i="1"/>
  <c r="G164" i="1"/>
  <c r="J147" i="1"/>
  <c r="J135" i="1" s="1"/>
  <c r="J84" i="1"/>
  <c r="J65" i="1"/>
  <c r="J64" i="1"/>
  <c r="J50" i="1"/>
  <c r="J49" i="1"/>
  <c r="J48" i="1"/>
  <c r="J42" i="1"/>
  <c r="J41" i="1"/>
  <c r="J36" i="1"/>
  <c r="D91" i="1"/>
  <c r="J91" i="1" s="1"/>
  <c r="D93" i="1"/>
  <c r="J93" i="1" s="1"/>
  <c r="D95" i="1"/>
  <c r="J95" i="1" s="1"/>
  <c r="D96" i="1"/>
  <c r="J96" i="1" s="1"/>
  <c r="D97" i="1"/>
  <c r="J97" i="1" s="1"/>
  <c r="D90" i="1"/>
  <c r="J90" i="1" s="1"/>
  <c r="D94" i="1"/>
  <c r="J94" i="1" s="1"/>
  <c r="D63" i="1"/>
  <c r="J63" i="1" s="1"/>
  <c r="D62" i="1"/>
  <c r="J62" i="1" s="1"/>
  <c r="D122" i="1"/>
  <c r="J122" i="1" s="1"/>
  <c r="J61" i="1" l="1"/>
  <c r="J60" i="1" s="1"/>
  <c r="J43" i="1"/>
  <c r="J210" i="1"/>
  <c r="J89" i="1"/>
  <c r="J35" i="1"/>
  <c r="D443" i="1"/>
  <c r="J443" i="1" s="1"/>
  <c r="D441" i="1"/>
  <c r="J441" i="1" s="1"/>
  <c r="D440" i="1"/>
  <c r="J440" i="1" s="1"/>
  <c r="J438" i="1" l="1"/>
  <c r="D412" i="1"/>
  <c r="J412" i="1" s="1"/>
  <c r="D411" i="1"/>
  <c r="J411" i="1" s="1"/>
  <c r="D410" i="1"/>
  <c r="J410" i="1" s="1"/>
  <c r="D413" i="1"/>
  <c r="J413" i="1" s="1"/>
  <c r="J184" i="1"/>
  <c r="J186" i="1"/>
  <c r="J188" i="1"/>
  <c r="J185" i="1"/>
  <c r="D123" i="1"/>
  <c r="J123" i="1" s="1"/>
  <c r="J409" i="1" l="1"/>
  <c r="J183" i="1"/>
  <c r="D132" i="1"/>
  <c r="J132" i="1" s="1"/>
  <c r="D131" i="1" l="1"/>
  <c r="J131" i="1" s="1"/>
  <c r="D164" i="1" l="1"/>
  <c r="J164" i="1" s="1"/>
  <c r="D158" i="1" l="1"/>
  <c r="J158" i="1" s="1"/>
  <c r="D153" i="1"/>
  <c r="J153" i="1" s="1"/>
  <c r="D152" i="1"/>
  <c r="J152" i="1" s="1"/>
  <c r="D179" i="1"/>
  <c r="J179" i="1" s="1"/>
  <c r="D159" i="1"/>
  <c r="J159" i="1" s="1"/>
  <c r="D161" i="1"/>
  <c r="J161" i="1" s="1"/>
  <c r="J157" i="1" l="1"/>
  <c r="J151" i="1"/>
  <c r="D121" i="1"/>
  <c r="J121" i="1" s="1"/>
  <c r="D119" i="1"/>
  <c r="J119" i="1" s="1"/>
  <c r="D120" i="1"/>
  <c r="J120" i="1" s="1"/>
  <c r="D118" i="1"/>
  <c r="J118" i="1" s="1"/>
  <c r="D117" i="1"/>
  <c r="J117" i="1" s="1"/>
  <c r="D109" i="1"/>
  <c r="J109" i="1" s="1"/>
  <c r="D114" i="1"/>
  <c r="J114" i="1" s="1"/>
  <c r="J134" i="1" l="1"/>
  <c r="J115" i="1"/>
  <c r="D113" i="1"/>
  <c r="J113" i="1" s="1"/>
  <c r="D112" i="1"/>
  <c r="J112" i="1" s="1"/>
  <c r="D88" i="1"/>
  <c r="J88" i="1" s="1"/>
  <c r="D87" i="1"/>
  <c r="J87" i="1" s="1"/>
  <c r="D86" i="1"/>
  <c r="J86" i="1" s="1"/>
  <c r="D85" i="1"/>
  <c r="J85" i="1" s="1"/>
  <c r="D83" i="1" l="1"/>
  <c r="J83" i="1" s="1"/>
  <c r="D82" i="1"/>
  <c r="J82" i="1" s="1"/>
  <c r="D81" i="1"/>
  <c r="J81" i="1" s="1"/>
  <c r="D80" i="1"/>
  <c r="J80" i="1" s="1"/>
  <c r="D78" i="1"/>
  <c r="J78" i="1" s="1"/>
  <c r="D77" i="1" l="1"/>
  <c r="J77" i="1" s="1"/>
  <c r="J76" i="1" s="1"/>
  <c r="J75" i="1" s="1"/>
  <c r="D356" i="1"/>
  <c r="J356" i="1" s="1"/>
  <c r="D355" i="1"/>
  <c r="J355" i="1" s="1"/>
  <c r="D353" i="1"/>
  <c r="D351" i="1"/>
  <c r="D350" i="1"/>
  <c r="J350" i="1" s="1"/>
  <c r="D346" i="1"/>
  <c r="J346" i="1" s="1"/>
  <c r="D352" i="1" l="1"/>
  <c r="J352" i="1" s="1"/>
  <c r="J351" i="1"/>
  <c r="J353" i="1"/>
  <c r="J345" i="1"/>
  <c r="J349" i="1"/>
  <c r="D111" i="1"/>
  <c r="J111" i="1" s="1"/>
  <c r="J344" i="1" l="1"/>
  <c r="J275" i="1" s="1"/>
  <c r="D110" i="1"/>
  <c r="J110" i="1" s="1"/>
  <c r="J108" i="1" s="1"/>
  <c r="D127" i="1" l="1"/>
  <c r="J127" i="1" s="1"/>
  <c r="D129" i="1" l="1"/>
  <c r="J129" i="1" s="1"/>
  <c r="D128" i="1"/>
  <c r="J128" i="1" s="1"/>
  <c r="J126" i="1" l="1"/>
  <c r="J34" i="1"/>
  <c r="J182" i="1"/>
  <c r="J367" i="1"/>
  <c r="J433" i="1"/>
  <c r="J453" i="1" l="1"/>
</calcChain>
</file>

<file path=xl/sharedStrings.xml><?xml version="1.0" encoding="utf-8"?>
<sst xmlns="http://schemas.openxmlformats.org/spreadsheetml/2006/main" count="1818" uniqueCount="1055">
  <si>
    <t>TOTAL</t>
  </si>
  <si>
    <t>ITEM</t>
  </si>
  <si>
    <t>QUANT.</t>
  </si>
  <si>
    <t>SERVIÇOS PRELIMINARES</t>
  </si>
  <si>
    <t>vb</t>
  </si>
  <si>
    <t>m²</t>
  </si>
  <si>
    <t>un</t>
  </si>
  <si>
    <t>ABRIGO PROVISÓRIO, para escritório, metálico tipo container constituído por um conjunto de dois módulos podendo ser acoplados pela lateral, fundo e frente</t>
  </si>
  <si>
    <t>m³</t>
  </si>
  <si>
    <t>m³</t>
  </si>
  <si>
    <t>m</t>
  </si>
  <si>
    <t>APILOAMENTO manual de valas em camadas de 20 cm de espessura</t>
  </si>
  <si>
    <t>REATERRO de vala com material granular reaproveitado adensado e vibrado</t>
  </si>
  <si>
    <t>m³</t>
  </si>
  <si>
    <t>FORMA em chapa de madeira compensada plastificada 12 mm, para estruturas de concreto reapr. 2x (corte/montagem/escoramento/desforma)</t>
  </si>
  <si>
    <t>m²</t>
  </si>
  <si>
    <t>m³</t>
  </si>
  <si>
    <t>kg</t>
  </si>
  <si>
    <t>m²</t>
  </si>
  <si>
    <t>m³</t>
  </si>
  <si>
    <t>VEDAÇÃO E DIVISÓRIAS</t>
  </si>
  <si>
    <t>CHAPISCO traço 1:4 (cimento e areia grossa), espessura 0,5cm, preparo mecânico da argamassa</t>
  </si>
  <si>
    <t>m²</t>
  </si>
  <si>
    <t>m²</t>
  </si>
  <si>
    <t>un</t>
  </si>
  <si>
    <t>un</t>
  </si>
  <si>
    <t>INSTALAÇÕES ELÉTRICAS</t>
  </si>
  <si>
    <t>SPDA</t>
  </si>
  <si>
    <t>INSTALAÇÕES HIDRO SANITÁRIAS</t>
  </si>
  <si>
    <t>INCÊNDIO</t>
  </si>
  <si>
    <t>Extintor de pó químico seco, 6 kg, quando não indicado, com disco de sinalização e suporte tipo ABC.</t>
  </si>
  <si>
    <t>Extintor de agua pressurizada, 10 lts, quando não indicado, com disco de sinalização</t>
  </si>
  <si>
    <t>Sinalização para extintores e hidrantes</t>
  </si>
  <si>
    <t>Esguicho cônico-tronco cônico Ø 38 x 16 mm</t>
  </si>
  <si>
    <t>Sinalização de rota de fuga</t>
  </si>
  <si>
    <t>SERVIÇOS FINAIS</t>
  </si>
  <si>
    <t xml:space="preserve">PLANILHA ORÇAMENTÁRIA </t>
  </si>
  <si>
    <t xml:space="preserve">CONTATO: </t>
  </si>
  <si>
    <t>DESCRIÇÃO - SERVIÇOS</t>
  </si>
  <si>
    <t>UNID.</t>
  </si>
  <si>
    <t>UNITÁRIO</t>
  </si>
  <si>
    <t>PREÇO R$ MAT.</t>
  </si>
  <si>
    <t>PREÇO R$ M.O</t>
  </si>
  <si>
    <t>TOTAL (R$)</t>
  </si>
  <si>
    <t>1.1</t>
  </si>
  <si>
    <t>1.2</t>
  </si>
  <si>
    <t xml:space="preserve">EMPRESA: </t>
  </si>
  <si>
    <t xml:space="preserve">ENDEREÇO: </t>
  </si>
  <si>
    <t xml:space="preserve">EMAIL: </t>
  </si>
  <si>
    <t xml:space="preserve">TELEFONE:  </t>
  </si>
  <si>
    <t>VERSÃO:</t>
  </si>
  <si>
    <t>2.1</t>
  </si>
  <si>
    <t>2.2</t>
  </si>
  <si>
    <t>3.1</t>
  </si>
  <si>
    <t>3.2</t>
  </si>
  <si>
    <t>3.3</t>
  </si>
  <si>
    <t>4.1</t>
  </si>
  <si>
    <t>4.2</t>
  </si>
  <si>
    <t>5.1</t>
  </si>
  <si>
    <t>5.2</t>
  </si>
  <si>
    <t>6.1</t>
  </si>
  <si>
    <t>6.2</t>
  </si>
  <si>
    <t>6.3</t>
  </si>
  <si>
    <t>6.5</t>
  </si>
  <si>
    <t>6.6</t>
  </si>
  <si>
    <t>8.1</t>
  </si>
  <si>
    <t>8.2</t>
  </si>
  <si>
    <t>8.3</t>
  </si>
  <si>
    <t>GRANITOS / SOLEIRA E PEITORIL</t>
  </si>
  <si>
    <t xml:space="preserve">FUNDAÇÃO </t>
  </si>
  <si>
    <t>ART de obra (Responsabilidade Técnica).</t>
  </si>
  <si>
    <t>PLACA de obra em chapa de aço galvanizado com tamanho de 3,00x2,00m</t>
  </si>
  <si>
    <t>LOCACAO convencional de obra, através de gabarito de tábuas corridas ontaletadas, sem reaproveitamento. Incluso a consultoria do Topografo.</t>
  </si>
  <si>
    <t xml:space="preserve">SUPERESTRUTURA </t>
  </si>
  <si>
    <t>FORMA em chapa de madeira compensada plastificada 12 mm, para estruturas de concreto reapr. 2x (corte/ montagem/ escoramento/ desforma)</t>
  </si>
  <si>
    <t>GÁS</t>
  </si>
  <si>
    <t xml:space="preserve">FORRO / TETO </t>
  </si>
  <si>
    <t>pç</t>
  </si>
  <si>
    <t>MARCENARIA</t>
  </si>
  <si>
    <t>PISO INTERNO E EXTERNO</t>
  </si>
  <si>
    <t>2.1.1</t>
  </si>
  <si>
    <t>2.1.4</t>
  </si>
  <si>
    <t>Joelho 45º - 50mm</t>
  </si>
  <si>
    <t>Registro de Pressão - 3/4"</t>
  </si>
  <si>
    <t>Tubos e Conexões em PVC Rigido Série "R"</t>
  </si>
  <si>
    <t>Tubo - 40mm</t>
  </si>
  <si>
    <t>Tubo - 50mm</t>
  </si>
  <si>
    <t>Tubo - 75mm</t>
  </si>
  <si>
    <t>Tubo - 100mm</t>
  </si>
  <si>
    <t>Joelho - 90º - 40mm</t>
  </si>
  <si>
    <t>Joelho - 90º - 50mm</t>
  </si>
  <si>
    <t>Joelho - 90º - 100mm</t>
  </si>
  <si>
    <t xml:space="preserve"> Tubo 25mm (3/4")</t>
  </si>
  <si>
    <t xml:space="preserve"> Tubo 40mm (1.1/4")</t>
  </si>
  <si>
    <t xml:space="preserve"> Tubo 32mm (1")</t>
  </si>
  <si>
    <t>Junção - 100 x 50mm</t>
  </si>
  <si>
    <t>Luva 50mm</t>
  </si>
  <si>
    <t>Luva 75mm</t>
  </si>
  <si>
    <t>Luva 100mm</t>
  </si>
  <si>
    <t>Grelha Hemisférica</t>
  </si>
  <si>
    <t>Tubo e Conexões em cobre Classe E</t>
  </si>
  <si>
    <t>Tubo 66mm</t>
  </si>
  <si>
    <t>Te 66mm</t>
  </si>
  <si>
    <t>Armario para abrigo de mangueiras de sobrepor (75X60X17cm)</t>
  </si>
  <si>
    <t>Registro globo 45° - 2.1/2"  engate rapido tampão tipo Storz com corrente</t>
  </si>
  <si>
    <t>Joelho 66mm</t>
  </si>
  <si>
    <t>Elétrica</t>
  </si>
  <si>
    <t>Outros</t>
  </si>
  <si>
    <t>4.1.1</t>
  </si>
  <si>
    <t>4.1.4</t>
  </si>
  <si>
    <t>Haste de aterramento 5/8"X3.00m</t>
  </si>
  <si>
    <t>Cx. de inspeção tipo solo em pvc com tampa em ferro fundido</t>
  </si>
  <si>
    <t>Cabo de cobre nu 35mm2</t>
  </si>
  <si>
    <t>Abraçadeira guia simples para mastro 2"</t>
  </si>
  <si>
    <t>Abraçadeira guia reforçada para mastro 1.1/2"</t>
  </si>
  <si>
    <t>Abraçadeira guia reforçada para mastro 2"</t>
  </si>
  <si>
    <t>Sinalizador noturno para obstaculos</t>
  </si>
  <si>
    <t>Conjunto estaiamento rigido 2m x 2"</t>
  </si>
  <si>
    <t>Base 2"</t>
  </si>
  <si>
    <t>Cx passagem 4x2"</t>
  </si>
  <si>
    <t>Eletroduto rigido metalico 3/4"</t>
  </si>
  <si>
    <t>Cabo para alarme de incendio endereçavel</t>
  </si>
  <si>
    <t>Botoeira para acionamento de bomba de incendio</t>
  </si>
  <si>
    <t>Botoeira para acionamento de alarme de incendio</t>
  </si>
  <si>
    <t>PAISAGISMO</t>
  </si>
  <si>
    <t>EQUIPAMENTOS E OUTROS</t>
  </si>
  <si>
    <t>4.2.1</t>
  </si>
  <si>
    <t>4.2.2</t>
  </si>
  <si>
    <t>4.2.3</t>
  </si>
  <si>
    <t>Eletroduto 3/4"</t>
  </si>
  <si>
    <t>Eletroduto 1.1/2"</t>
  </si>
  <si>
    <t>Caixa 4x2"</t>
  </si>
  <si>
    <t>Caixa passagem 20x20cm</t>
  </si>
  <si>
    <t>13.1</t>
  </si>
  <si>
    <t>13.2</t>
  </si>
  <si>
    <t>13.3</t>
  </si>
  <si>
    <t>13.4</t>
  </si>
  <si>
    <t>Interruptor simples</t>
  </si>
  <si>
    <t xml:space="preserve">Tomada univ. (2P+T) – 10A /127V </t>
  </si>
  <si>
    <t>Tomada univ. (2P+T) – 10A/250V</t>
  </si>
  <si>
    <t>Bloco autonomo para iluminação de emergencia autonomia 10h</t>
  </si>
  <si>
    <t>12.4</t>
  </si>
  <si>
    <t>Total</t>
  </si>
  <si>
    <t>OMISSOS</t>
  </si>
  <si>
    <t>8.4</t>
  </si>
  <si>
    <t>IMPERMEABILIZAÇÃO</t>
  </si>
  <si>
    <t>19.1</t>
  </si>
  <si>
    <t>CONCRETO Usinado bombeado fck=30</t>
  </si>
  <si>
    <t>2.2.1</t>
  </si>
  <si>
    <t>2.2.2</t>
  </si>
  <si>
    <t>2.2.3</t>
  </si>
  <si>
    <t>2.2.4</t>
  </si>
  <si>
    <t>2.2.5</t>
  </si>
  <si>
    <t>2.2.6</t>
  </si>
  <si>
    <t>4.1.5</t>
  </si>
  <si>
    <t xml:space="preserve">Disjuntor monopolar 10A </t>
  </si>
  <si>
    <t xml:space="preserve"> </t>
  </si>
  <si>
    <t>17.2</t>
  </si>
  <si>
    <t>17.3</t>
  </si>
  <si>
    <t>TAPUME de chapa de madeira compensada (10mm)  em pintura em esmalte sintetico com porta e ferragem COM REAPROVEITAMENTO</t>
  </si>
  <si>
    <t>LIMPEZA DURANTE  e FINAL da obra</t>
  </si>
  <si>
    <t>10.1</t>
  </si>
  <si>
    <t>10.2</t>
  </si>
  <si>
    <t>10.3</t>
  </si>
  <si>
    <t>REVESTIMENTO DE PAREDE INTERNO</t>
  </si>
  <si>
    <t>15.1</t>
  </si>
  <si>
    <t>15.2</t>
  </si>
  <si>
    <t>15.3</t>
  </si>
  <si>
    <t>REVESTIMENTO DE PAREDE EXTERNO</t>
  </si>
  <si>
    <t>21.1</t>
  </si>
  <si>
    <t>5.1.2</t>
  </si>
  <si>
    <t>5.1.1</t>
  </si>
  <si>
    <t>5.1.3</t>
  </si>
  <si>
    <t>5.1.4</t>
  </si>
  <si>
    <t>5.1.5</t>
  </si>
  <si>
    <t>5.1.6</t>
  </si>
  <si>
    <t>5.1.7</t>
  </si>
  <si>
    <t>5.1.8</t>
  </si>
  <si>
    <t>5.1.9</t>
  </si>
  <si>
    <t>12.2</t>
  </si>
  <si>
    <t>14.1</t>
  </si>
  <si>
    <t>14.3</t>
  </si>
  <si>
    <t>16.1</t>
  </si>
  <si>
    <t>16.1.1</t>
  </si>
  <si>
    <t>16.2</t>
  </si>
  <si>
    <t>16.2.1</t>
  </si>
  <si>
    <t>16.2.2</t>
  </si>
  <si>
    <t>16.2.3</t>
  </si>
  <si>
    <t>16.3</t>
  </si>
  <si>
    <t>17.1</t>
  </si>
  <si>
    <t>17.4</t>
  </si>
  <si>
    <t>18.1</t>
  </si>
  <si>
    <t>EMBOCO traço 1:4,5 (cal e areia média), espessura 2,0cm, preparo manual da argamassa</t>
  </si>
  <si>
    <t>REBOCO argamassa traço 1:4,5 (cal e areia fina), espessura 0,5cm, preparo mecânico da argamassa</t>
  </si>
  <si>
    <t>Mastro telescopico 6m ( 3m x 1.1/2" + 3m x 2")</t>
  </si>
  <si>
    <t>5.2.1</t>
  </si>
  <si>
    <t>5.2.2</t>
  </si>
  <si>
    <t>5.2.3</t>
  </si>
  <si>
    <t>5.2.4</t>
  </si>
  <si>
    <t>5.2.5</t>
  </si>
  <si>
    <t>Plantio</t>
  </si>
  <si>
    <t>Civil</t>
  </si>
  <si>
    <t>3.4</t>
  </si>
  <si>
    <t>2.2.7</t>
  </si>
  <si>
    <t>3.5</t>
  </si>
  <si>
    <t>VERGA E CONTRAVERGAS DE CONCRETO para portas e janelas</t>
  </si>
  <si>
    <t xml:space="preserve">Lastro de Concreto magro com 5cm </t>
  </si>
  <si>
    <t>Barra chata de aluminio</t>
  </si>
  <si>
    <t>Tubos e Conexões em Cobre 66mm</t>
  </si>
  <si>
    <t>Tampa metalica para hidrante de fachada tam. 60x40cm</t>
  </si>
  <si>
    <t>Mangueira de 40mm de incendio com 30m</t>
  </si>
  <si>
    <t>Registro Globo 90 2.1/2"</t>
  </si>
  <si>
    <t>Quadro para ligação da bomba com chave e medidor.</t>
  </si>
  <si>
    <t>Avisador tipo Sirene para alarme</t>
  </si>
  <si>
    <t xml:space="preserve">Central de alarme com bateria </t>
  </si>
  <si>
    <t>cj</t>
  </si>
  <si>
    <t>Hidráulica</t>
  </si>
  <si>
    <t>Infraestrutura /  Estacas</t>
  </si>
  <si>
    <t>Infraestrutura /  Blocos e Baldrames</t>
  </si>
  <si>
    <t>Alvenaria e Drywall</t>
  </si>
  <si>
    <t>Piso Interno</t>
  </si>
  <si>
    <t>Acessórios, Louças e Metais</t>
  </si>
  <si>
    <t>Água Pluvial (Drenagem)</t>
  </si>
  <si>
    <t>Esgoto - Série "R"</t>
  </si>
  <si>
    <t>Água Fria</t>
  </si>
  <si>
    <t>Quadros e Acessórios</t>
  </si>
  <si>
    <t xml:space="preserve">Disjuntor bipolar 40A </t>
  </si>
  <si>
    <t>DPS CLASSE II - 20KA</t>
  </si>
  <si>
    <t>Interruptor bipolar paralelo</t>
  </si>
  <si>
    <t>interruptor bipolar</t>
  </si>
  <si>
    <t>Sensor de presença, interruptor</t>
  </si>
  <si>
    <t>Tomada univ. (2P+T) – 10A/250V - PROVA D'AGUA</t>
  </si>
  <si>
    <t>Tomada steck</t>
  </si>
  <si>
    <t>Eletrocalha 100x100mm</t>
  </si>
  <si>
    <t>Eletrocalha 200x100mm</t>
  </si>
  <si>
    <t>Caixa de equalização em aço, 8 terminais cabos de cobre 16mm2e 1 terminal cabo de cobre 50mm2</t>
  </si>
  <si>
    <t>Rebar de aço galvanizado a fogo</t>
  </si>
  <si>
    <t xml:space="preserve"> Tubos e Conexões - Pvc Rigido Marrom Soldavel</t>
  </si>
  <si>
    <t xml:space="preserve"> Tubo 25mm (1/2")</t>
  </si>
  <si>
    <t>Joelho 90°  (s/r)- 25mm</t>
  </si>
  <si>
    <t>Joelho 90° (s/r)- 32mm</t>
  </si>
  <si>
    <t xml:space="preserve">Joelho 45º  - 25mm </t>
  </si>
  <si>
    <t xml:space="preserve">Joelho 45º  - 32mm </t>
  </si>
  <si>
    <t xml:space="preserve">Te (s/r) - 25mm </t>
  </si>
  <si>
    <t xml:space="preserve">Joelho 90º  - 20mm </t>
  </si>
  <si>
    <t xml:space="preserve">Joelho 90º  - 25mm </t>
  </si>
  <si>
    <t>Joelho 90° - 32mm</t>
  </si>
  <si>
    <t>Joelho 90° - 40mm</t>
  </si>
  <si>
    <t>Joelho 90° - 60mm</t>
  </si>
  <si>
    <t xml:space="preserve">Te - 20mm </t>
  </si>
  <si>
    <t xml:space="preserve">Te - 25mm </t>
  </si>
  <si>
    <t xml:space="preserve">Te - 40mm </t>
  </si>
  <si>
    <t xml:space="preserve">Te - 60mm </t>
  </si>
  <si>
    <t>Te Redução 40x20mm</t>
  </si>
  <si>
    <t>Te Redução 32x25mm</t>
  </si>
  <si>
    <t>Redução 40x32mm</t>
  </si>
  <si>
    <t>Te 90º ( s/r )- 32mm</t>
  </si>
  <si>
    <t>Registro de Gaveta - 1" - bruto</t>
  </si>
  <si>
    <t>Registro de Gaveta - 2" - bruto</t>
  </si>
  <si>
    <t>Flange - 60mm</t>
  </si>
  <si>
    <t>Flange - 32mm</t>
  </si>
  <si>
    <t>Flange - 25mm</t>
  </si>
  <si>
    <t>-</t>
  </si>
  <si>
    <t>Tubos e Conexões em PVC Rigido Branco</t>
  </si>
  <si>
    <t>Flange 66mm</t>
  </si>
  <si>
    <t>Valvula de Retenção 2.1/2"</t>
  </si>
  <si>
    <t>Bomba de incêndio com vazao = 320l 420l/min e pressão = 33  42mca</t>
  </si>
  <si>
    <t>BARRACAO de obra para banheiro/vestiário, piso em pinho 3a, paredes, com instalação provisoria de hidrossanitaria e eletrica. (6,00x3,00)</t>
  </si>
  <si>
    <t>CAÇAMBA de entulho com 4m3, incluso transporte vertical e horizontal (entulho durante a obra)</t>
  </si>
  <si>
    <t xml:space="preserve">Transporte de entulhos em CAMINHÃO BASCULHANTE com capacidade de 10m3 / 15T em Rua Pavimentada de ate 10km de distancia. (da demolição do inicio da obra) </t>
  </si>
  <si>
    <t>ALVENARIA em bloco de concreto (espessura 19 cm)</t>
  </si>
  <si>
    <t>Válvula de Retenção - 3/4"</t>
  </si>
  <si>
    <t>Adaptador sold.com bolsa e rosca para registro-3/4"</t>
  </si>
  <si>
    <t>Adaptador sold.com bolsa e rosca para registro-1"</t>
  </si>
  <si>
    <t>Adaptador sold.com bolsa e rosca para registro-2"</t>
  </si>
  <si>
    <t>Luva soldavel e com rosca -3/4"</t>
  </si>
  <si>
    <t>Registro de Gaveta -  3/4" - bruto</t>
  </si>
  <si>
    <t>6.4</t>
  </si>
  <si>
    <t>13.5</t>
  </si>
  <si>
    <t>20.1</t>
  </si>
  <si>
    <t>Captor Franklin c/ base em latão, pontas e parafusos</t>
  </si>
  <si>
    <r>
      <t xml:space="preserve">ENDEREÇO: </t>
    </r>
    <r>
      <rPr>
        <sz val="11"/>
        <rFont val="Tahoma"/>
        <family val="2"/>
      </rPr>
      <t>Bairro da Liberdade</t>
    </r>
  </si>
  <si>
    <t>CONCRETO fck=35 Mpa</t>
  </si>
  <si>
    <t>7 - PORCELANATO Panna Plus NA "Eliane" 60x60cm.
Colocação ortogonal e assentamento sobre argamassa e rejunte acrílico na mesma cor do piso.</t>
  </si>
  <si>
    <t>6 - PORCELANATO Técnico Minimum Concreto NA "Eliane" 80x80cm.
Colocação ortogonal e assentamento sobre argamassa e rejunte acrílico na mesma cor do piso.</t>
  </si>
  <si>
    <t>RODAPÉ IDEM AO PISO ITEM 8, h=25cm. 
Assentamento e rejunte acrílico na mesma cor do piso.</t>
  </si>
  <si>
    <t>RODAPÉ IDEM AO PISO ITEM 6, h=7cm. 
Assentamento e rejunte acrílico na mesma cor do piso.</t>
  </si>
  <si>
    <t>RODAPÉ IDEM AO PISO ITEM 7, h=7cm. 
Assentamento e rejunte acrílico na mesma cor do piso.</t>
  </si>
  <si>
    <t>AL-13 - PORTA de alumínio  0,85 x 2,10 - com pintura anodizada de interferência cor Titanium Fosco  Prodec</t>
  </si>
  <si>
    <t>EF-02 - GRELHA DE PISO DE AÇO INOX 11x100cm.</t>
  </si>
  <si>
    <t>EF-05 - CONJUNTO DE BARRAS DE APOIO SANITÁRIAS DE AÇO INOX</t>
  </si>
  <si>
    <t>SO-02 Granito branco Itaúnas 5,50 x 0,25</t>
  </si>
  <si>
    <t>SO-01 Granito branco Itaúnas 0,80 x 0,25</t>
  </si>
  <si>
    <t>SO-04 Granito branco Itaúnas 6,55 x 0,13</t>
  </si>
  <si>
    <t>SO-05 Granito branco Itaúnas 4,00 x 0,13</t>
  </si>
  <si>
    <t>SO-06 Granito branco Itaúnas 0,90 x 0,25</t>
  </si>
  <si>
    <t>BA-06 Sanitário Masculino 3</t>
  </si>
  <si>
    <t>BA-07 Sanitário Feminino 3</t>
  </si>
  <si>
    <t>BA-05 Sanitário Masculino 2</t>
  </si>
  <si>
    <t>BA-03 Sanitário Feminino 1</t>
  </si>
  <si>
    <t>BA-02 Sanitário Masculino 1</t>
  </si>
  <si>
    <t>BA-01 Controle de Acesso</t>
  </si>
  <si>
    <t>Bancadas em Granito</t>
  </si>
  <si>
    <t>21.2</t>
  </si>
  <si>
    <t>Divisórias Sanitárias</t>
  </si>
  <si>
    <t>DIV-01 - Divisória em Laminado Melamínico H=180cm. 
Ref.: "Vision Flexi" Classic Antivandalismo - Perfis na cor alumínio e fechamentos em Fórmica Antipichação cor Moldau (M848).</t>
  </si>
  <si>
    <t>SAIA DE BANCADA em Fórmica Antipichação cor Moldau (M848).
(BA-05 - SANITÁRIO MASCULINO 2)</t>
  </si>
  <si>
    <t>SAIA DE BANCADA em Fórmica Antipichação cor Moldau (M848).
 (BA-04 - SANITÁRIO FEMININO 2)</t>
  </si>
  <si>
    <t>SAIA DE BANCADA em Fórmica Antipichação cor Moldau (M848).
(BA-03 - SANITÁRIO FEMININO 1)</t>
  </si>
  <si>
    <t>SAIA DE BANCADA em Fórmica Antipichação cor Moldau (M848).
(BA-02 - SANITÁRIO MASCULINO 1)</t>
  </si>
  <si>
    <t>DIV-02 - Tapa Vista de entrada em Laminado Melamínico.
Ref.: "Vision Flexi" Classic Antivandalismo - Perfis na cor alumínio e fechamentos em Fórmica Antipichação cor Moldau (M848).</t>
  </si>
  <si>
    <t>DIV-04 - Aparador lateral em Laminado Melamínico.
Ref.:  "Vision Flexi" Antivandalismo - Fórmica Antipichação cor Moldau (M848).</t>
  </si>
  <si>
    <t>4.2.4</t>
  </si>
  <si>
    <t>DIV-03 - Tapa Vista de mictório em Laminado Melamínico.
Ref.: "Vision Flexi" Classic Antivandalismo - Perfis na cor alumínio e fechamentos em Fórmica Antipichação cor Moldau (M848).</t>
  </si>
  <si>
    <t>8.5</t>
  </si>
  <si>
    <t>8.6</t>
  </si>
  <si>
    <t>10.1.1</t>
  </si>
  <si>
    <t>10.1.2</t>
  </si>
  <si>
    <t>10.1.3</t>
  </si>
  <si>
    <t>10.1.4</t>
  </si>
  <si>
    <t>10.1.5</t>
  </si>
  <si>
    <t>10.1.6</t>
  </si>
  <si>
    <t>10.2.1</t>
  </si>
  <si>
    <t>10.2.2</t>
  </si>
  <si>
    <t>10.3.1</t>
  </si>
  <si>
    <t>10.3.2</t>
  </si>
  <si>
    <t>10.3.3</t>
  </si>
  <si>
    <t>10.3.4</t>
  </si>
  <si>
    <t>10.3.5</t>
  </si>
  <si>
    <t>10.3.6</t>
  </si>
  <si>
    <t>13.5.1</t>
  </si>
  <si>
    <t>13.5.2</t>
  </si>
  <si>
    <t>13.5.3</t>
  </si>
  <si>
    <t>13.5.4</t>
  </si>
  <si>
    <t>13.5.6</t>
  </si>
  <si>
    <t>13.5.7</t>
  </si>
  <si>
    <t>13.5.8</t>
  </si>
  <si>
    <t>13.5.9</t>
  </si>
  <si>
    <t>13.5.10</t>
  </si>
  <si>
    <t>13.5.11</t>
  </si>
  <si>
    <t>13.5.12</t>
  </si>
  <si>
    <t>1 - CONCRETO desempenado rosado com orla/junta de dilatação.</t>
  </si>
  <si>
    <t>5 - GRANITO bruto rosado 30x60cm; paginação alinhada e acabamento com borda de mesma pedra 15x30cm, intercalado com piso original (existente) a adaptar. (Jardim Oriental)</t>
  </si>
  <si>
    <t>2 - GRANITO bruto rosado 30x60cm; paginação alinhada. (Esplanada)</t>
  </si>
  <si>
    <t>6 - GRANITO bruto rosado 30x60cm; paginação alinhada. (Rampa)</t>
  </si>
  <si>
    <t>7 - GRANITO bruto rosado 30x60cm; paginação alinhada. Utilizar o corte da pedra do tamanho do degrau e em sua maior medida do comprimento da pedra, fazer pingadeira nos degraus. (Arquibancada)</t>
  </si>
  <si>
    <t>3 - SEIXOS de argila expandida sobre piso.</t>
  </si>
  <si>
    <t>4 - DECK de madeira "Itaúba".</t>
  </si>
  <si>
    <t>Fornecimento de muda e Plantio Eragrostis curvula (Capim-chorão) - Porte 0,20m</t>
  </si>
  <si>
    <t>Fornecimento de muda e Plantio Zoysia tenuifolia (Grama-coreana) - plantio em mantas</t>
  </si>
  <si>
    <t>2.1.3</t>
  </si>
  <si>
    <t>ARMADURA de aço para viga, lajes e pilares, CA-50 / CA-60</t>
  </si>
  <si>
    <t xml:space="preserve">ARMADURA de aço para 120 estacas CA-50:     </t>
  </si>
  <si>
    <t>Kg</t>
  </si>
  <si>
    <t>ARMADURA de aço para blocos, baldrames</t>
  </si>
  <si>
    <t>16.4</t>
  </si>
  <si>
    <t>Soleira</t>
  </si>
  <si>
    <t>Peitoril</t>
  </si>
  <si>
    <t>1 - PINTURA EXTERIOR LATEX VERDE SOBRE REBOCO
REF.: "SUVINIL" PROTEÇÃO TOTAL COD.: C051 - ERVAS FINAS</t>
  </si>
  <si>
    <t>2 - PINTURA EXTERIOR LATEX VERDE SOBRE REBOCO
REF.: "SUVINIL" PROTEÇÃO TOTAL COD.: D051 - RENDA PORTUGUESA</t>
  </si>
  <si>
    <t>3 - PINTURA EXTERIOR LATEX CINZA SOBRE REBOCO
REF.: "SUVINIL" PROTEÇÃO TOTAL COD.: E161 - NANQUIM</t>
  </si>
  <si>
    <t>4 - PINTURA EXTERIOR LATEX CINZA SOBRE REBOCO
REF.: "SUVINIL" PROTEÇÃO TOTAL COD.: C161 - PRATA</t>
  </si>
  <si>
    <t>5 - PINTURA EXTERIOR LATEX SOBRE REBOCO
REF.: "SUVINIL" PROTEÇÃO TOTAL COD.: C326 - OCEANO ÍNDICO</t>
  </si>
  <si>
    <t>6 - PINTURA EXTERIOR LATEX SOBRE REBOCO
REF.: "SUVINIL" PROTEÇÃO TOTAL COD.: RM012 - GELO</t>
  </si>
  <si>
    <t>8 - FILETADO CANJIQUINHA DE QUARTZITO.
COR: BRANCA - ESPESSURA 2cm A 4cm.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</si>
  <si>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</si>
  <si>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</si>
  <si>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</si>
  <si>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</si>
  <si>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</si>
  <si>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</si>
  <si>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</si>
  <si>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</si>
  <si>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</si>
  <si>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A - CERÂMICA "ELIANE" FORMA BRANCO AC COM CAMADA PROTETORA DE VERNIZ ANTIPICHAÇÃO PARA CERÂMICA - 33,5 X 60cm - COLOCAÇÃO ORTOGONAL</t>
  </si>
  <si>
    <t>C - PINTURA LATEX BRANCA
REF.: "SUVINIL" CLÁSSICA. COD.: A526 - NUVEM DE PAPEL</t>
  </si>
  <si>
    <t>B - FÓRMICA FORMIWALL COR BRANCA (L120) e = 1,3mm. (SANITÁRIO PRIVATIVO)</t>
  </si>
  <si>
    <t>9.1</t>
  </si>
  <si>
    <t>9.1.1</t>
  </si>
  <si>
    <t>9.1.2</t>
  </si>
  <si>
    <t>9.1.3</t>
  </si>
  <si>
    <t>9.1.4</t>
  </si>
  <si>
    <t>9.1.5</t>
  </si>
  <si>
    <t>9.2</t>
  </si>
  <si>
    <t>9.2.1</t>
  </si>
  <si>
    <t>9.2.2</t>
  </si>
  <si>
    <t>9.3</t>
  </si>
  <si>
    <t>9.3.1</t>
  </si>
  <si>
    <t>9.3.2</t>
  </si>
  <si>
    <t>9.3.3</t>
  </si>
  <si>
    <t>9.3.4</t>
  </si>
  <si>
    <t>9.3.5</t>
  </si>
  <si>
    <t>9.3.6</t>
  </si>
  <si>
    <t>9.3.7</t>
  </si>
  <si>
    <t>9.3.8</t>
  </si>
  <si>
    <t>Elementos de Ferro</t>
  </si>
  <si>
    <t>Esquadrias de Madeira</t>
  </si>
  <si>
    <t>Esquadrias de Alumínio</t>
  </si>
  <si>
    <t>5.2.6</t>
  </si>
  <si>
    <t>5.2.7</t>
  </si>
  <si>
    <t>5.2.8</t>
  </si>
  <si>
    <t>9 - FULGET composto por cimento, aditivos e granulados de pedra moída cor
cinza. (Terraço)</t>
  </si>
  <si>
    <t>4.1.2</t>
  </si>
  <si>
    <t>ALVENARIA em bloco de concreto (espessura 14 cm)</t>
  </si>
  <si>
    <t>4.1.3</t>
  </si>
  <si>
    <t>ALVENARIA em bloco de concreto (espessura 9 cm)</t>
  </si>
  <si>
    <t>1 - CONCRETO desempenado.</t>
  </si>
  <si>
    <t>2 - CONCRETO  antiderrapante ranhurado.</t>
  </si>
  <si>
    <t>3 - GRANILITE na cor cinza.</t>
  </si>
  <si>
    <t>5.1.10</t>
  </si>
  <si>
    <t>9 - LADRILHO HIDRÁULICO para rampa de pedestres (16 quadrados - 20x20cm)</t>
  </si>
  <si>
    <t>5.1.11</t>
  </si>
  <si>
    <t>CONTRAPISO para regularização geral. Traço 1:3 (itens 1 a 3 / 6 a 9)
4 - CONTRAPISO regularizado e nivelado. (Conjuntos com piso por conta do locatário)
5 - CONTRAPISO impermeabilizado, regularizado e nivelado. (Sanitários privativos)
NOTA: Verificar espessura do contrapiso no projeto básico de Arquitetura.</t>
  </si>
  <si>
    <t>RODAPÉ IDEM AO PISO ITEM 3, h=7cm.</t>
  </si>
  <si>
    <t>5.1.12</t>
  </si>
  <si>
    <t>EF-01 - GRELHA DE PISO DE AÇO INOX 20x100cm.</t>
  </si>
  <si>
    <t>9.3.9</t>
  </si>
  <si>
    <t>9.3.10</t>
  </si>
  <si>
    <t>9.3.11</t>
  </si>
  <si>
    <t>EF-16 - BATE RODAS VEÍCULOS.</t>
  </si>
  <si>
    <t>EF-14 - PORTÃO DE ENROLAR TRANSVISION.</t>
  </si>
  <si>
    <t>EF-07 - CORRIMÃO/ GUARDA CORPO TIPO 3. (rampa externa)</t>
  </si>
  <si>
    <t>EF-06 - CORRIMÃO/ GUARDA CORPO TIPO 2. (arquibancada)</t>
  </si>
  <si>
    <t>EF-03 - CORRIMÃO/ GUARDA CORPO TIPO 1. (escada subsolo)</t>
  </si>
  <si>
    <t>9.3.12</t>
  </si>
  <si>
    <t>PCF-01 - PORTA CORTA FOGO 90x210cm.</t>
  </si>
  <si>
    <t>EF-21 - GRELHA DE VENTILAÇÃO NATURAL TIPO 1.</t>
  </si>
  <si>
    <t>EF-22 - GRELHA DE VENTILAÇÃO NATURAL TIPO 2.</t>
  </si>
  <si>
    <t>9.2.3</t>
  </si>
  <si>
    <t>9.1.6</t>
  </si>
  <si>
    <t>9.1.7</t>
  </si>
  <si>
    <t>9.1.9</t>
  </si>
  <si>
    <t>AL-01 - PORTA de alumínio  0,80 x 2,10 - com pintura anodizada de interferência cor Titanium Fosco  Prodec</t>
  </si>
  <si>
    <t>AL-02 - PORTA de alumínio  1,60 x 3,25 - com pintura anodizada de interferência cor Titanium Fosco  Prodec</t>
  </si>
  <si>
    <t>PCF-02 - PORTA CORTA FOGO 130x210cm.</t>
  </si>
  <si>
    <t>9.3.13</t>
  </si>
  <si>
    <t>EF-08 - CORRIMÃO/ GUARDA CORPO TIPO 4. (escada de emergência)</t>
  </si>
  <si>
    <t>EF-09 - CORRIMÃO/ GUARDA CORPO TIPO 5. (escada mall)</t>
  </si>
  <si>
    <t>9.3.14</t>
  </si>
  <si>
    <t>9.3.15</t>
  </si>
  <si>
    <t>9.3.16</t>
  </si>
  <si>
    <t>EF-13 - CORRIMÃO/ GUARDA CORPO TIPO 8. (área externa)</t>
  </si>
  <si>
    <t>EF-11 - CORRIMÃO/ GUARDA CORPO TIPO 7. (escada mezanino conjuntos)</t>
  </si>
  <si>
    <t>EF-15 - CORRIMÃO/ GUARDA CORPO TIPO 9. (escada saída conjunto)</t>
  </si>
  <si>
    <t>9.3.17</t>
  </si>
  <si>
    <t>9.3.18</t>
  </si>
  <si>
    <t>9.3.19</t>
  </si>
  <si>
    <t>ESQUADRIAS DE ALUMINO / MADEIRA / FERRO / VIDRO</t>
  </si>
  <si>
    <t>9.4</t>
  </si>
  <si>
    <t>Vidro Temperado</t>
  </si>
  <si>
    <t>9.4.1</t>
  </si>
  <si>
    <t>VID-01 - 250x120h.</t>
  </si>
  <si>
    <t>9.2.4</t>
  </si>
  <si>
    <t>9.2.5</t>
  </si>
  <si>
    <t>9.1.10</t>
  </si>
  <si>
    <t>AL-06 - JANELA de alumínio  0,90 x 0,50 - com pintura anodizada de interferência cor Titanium Fosco  Prodec</t>
  </si>
  <si>
    <t>9.1.11</t>
  </si>
  <si>
    <t>9.1.12</t>
  </si>
  <si>
    <t>9.1.13</t>
  </si>
  <si>
    <t>9.1.14</t>
  </si>
  <si>
    <t>9.1.15</t>
  </si>
  <si>
    <t>AL-16 - JANELA de alumínio 3,30 x 4,40 - com pintura anodizada de interferência cor Titanium Fosco  Prodec.</t>
  </si>
  <si>
    <t>EF-17 - CORRIMÃO/ GUARDA CORPO TIPO 10. (mureta patamar)</t>
  </si>
  <si>
    <t>9.3.20</t>
  </si>
  <si>
    <t>EF-10 - CORRIMÃO/ GUARDA CORPO TIPO 6. (mezanino mall)</t>
  </si>
  <si>
    <t>9.3.21</t>
  </si>
  <si>
    <t>9.3.22</t>
  </si>
  <si>
    <t>AL-05 - PORTA de alumínio  3,60 x 2,10 - com pintura anodizada de interferência cor Titanium Fosco  Prodec</t>
  </si>
  <si>
    <t>AL-04 - PORTA de alumínio  0,65 x 2,10 - com pintura anodizada de interferência cor Titanium Fosco  Prodec</t>
  </si>
  <si>
    <t>AL-08 - JANELA de alumínio  1,50 x 1,00 - com pintura anodizada de interferência cor Titanium Fosco  Prodec</t>
  </si>
  <si>
    <t>1 - TORNEIRA DE FECHAMENTO AUTOMÁTICO LÓGGICA MATIC "DOCOL" REF: 00652806.</t>
  </si>
  <si>
    <t>2 - CUBA DE SEMI ENCAIXE Q2 "CELITE" COD: 73025 (SANITÁRIOS COLETIVOS E EVENTOS)</t>
  </si>
  <si>
    <t>EF-12 - CONTROLE DE ACESSO À COBERTURA. (ático)</t>
  </si>
  <si>
    <t>EF-04 - CONTROLE DE ACESSO AO ELEVADOR. (subsolo)</t>
  </si>
  <si>
    <t>10.1.7</t>
  </si>
  <si>
    <t>SO-07 Granito branco Itaúnas 1,50 x 0,25</t>
  </si>
  <si>
    <t>10.1.8</t>
  </si>
  <si>
    <t>SO-08 Granito branco Itaúnas 1,00 x 0,23</t>
  </si>
  <si>
    <t>10.1.9</t>
  </si>
  <si>
    <t>SO-09 Granito branco Itaúnas 0,80 x 0,13</t>
  </si>
  <si>
    <t>10.1.10</t>
  </si>
  <si>
    <t>SO-10 Granito branco Itaúnas 0,60 x 0,13</t>
  </si>
  <si>
    <t>10.1.11</t>
  </si>
  <si>
    <t>SO-11 Granito branco Itaúnas 8,40 x 0,13</t>
  </si>
  <si>
    <t>SO-12 Granito branco Itaúnas 3,70 x 0,13</t>
  </si>
  <si>
    <t>10.1.12</t>
  </si>
  <si>
    <t>10.1.13</t>
  </si>
  <si>
    <t>SO-13 Granito branco Itaúnas 1,70 x 0,25</t>
  </si>
  <si>
    <t>10.1.14</t>
  </si>
  <si>
    <t>SO-14 Granito branco Itaúnas 8,80 x 0,25</t>
  </si>
  <si>
    <t>10.1.15</t>
  </si>
  <si>
    <t>SO-15 Granito branco Itaúnas 8,00 x 0,25</t>
  </si>
  <si>
    <t>10.1.16</t>
  </si>
  <si>
    <t>SO-16 Granito branco Itaúnas 3,60 x 0,25</t>
  </si>
  <si>
    <t>10.1.17</t>
  </si>
  <si>
    <t>SO-17 Granito branco Itaúnas 0,65 x 0,25</t>
  </si>
  <si>
    <t>SO-18 Granito branco Itaúnas 1,50 x 0,18</t>
  </si>
  <si>
    <t>10.1.18</t>
  </si>
  <si>
    <t>SO-19 Granito branco Itaúnas 2,15 x 0,13</t>
  </si>
  <si>
    <t>10.2.3</t>
  </si>
  <si>
    <t>PE-03 Granito branco Itaúnas 3,15 x 0,25 (AL-10)</t>
  </si>
  <si>
    <t>PE-04 Granito branco Itaúnas 0,75 x 0,25 (AL-11)</t>
  </si>
  <si>
    <t>10.2.4</t>
  </si>
  <si>
    <t>10.2.5</t>
  </si>
  <si>
    <t>PE-05 Granito branco Itaúnas 3,40 x 0,25 (AL-03 / AL-16)</t>
  </si>
  <si>
    <t>10.2.6</t>
  </si>
  <si>
    <t>PE-06 Granito branco Itaúnas 2,40 x 0,25 (AL-09)</t>
  </si>
  <si>
    <t>10.2.7</t>
  </si>
  <si>
    <t>PE-07 Granito branco Itaúnas (mureta mall)</t>
  </si>
  <si>
    <t>PE-08 Granito branco Itaúnas (mureta mezanino mall)</t>
  </si>
  <si>
    <t>PE-09 Granito branco Itaúnas 1,50 x 0,25 (AL-08)</t>
  </si>
  <si>
    <t>17.5</t>
  </si>
  <si>
    <t>17.6</t>
  </si>
  <si>
    <t>SAIA DE BANCADA em Fórmica Antipichação cor Moldau (M848).
(BA-06 - SANITÁRIO MASCULINO 3)</t>
  </si>
  <si>
    <t>SAIA DE BANCADA em Fórmica Antipichação cor Moldau (M848).
(BA-07 - SANITÁRIO FEMININO 3)</t>
  </si>
  <si>
    <t>2 - GUARDA CORPO/ GRADIL.</t>
  </si>
  <si>
    <t>3 - GUARDA CORPO do deck em madeira "Itaúba".</t>
  </si>
  <si>
    <t>4 - PASSARELA do deck com i=6% e escada no mesmo padrão do trapiche detalhado.</t>
  </si>
  <si>
    <t>5 - GUARDA CORPO de Bambú a reformar.</t>
  </si>
  <si>
    <t>6 - PINTURA da empena na cor verde (vizinho).</t>
  </si>
  <si>
    <t>8 - BANCO de madeira (assento arquibancada).</t>
  </si>
  <si>
    <t>1 - BANCO de madeira (assento esplanada).</t>
  </si>
  <si>
    <t>18.2</t>
  </si>
  <si>
    <t>gl</t>
  </si>
  <si>
    <t>COBERTURA</t>
  </si>
  <si>
    <t>19.2</t>
  </si>
  <si>
    <t>21.3</t>
  </si>
  <si>
    <t>21.4</t>
  </si>
  <si>
    <t>21.5</t>
  </si>
  <si>
    <t>21.6</t>
  </si>
  <si>
    <t>22.1</t>
  </si>
  <si>
    <t>22.1.1</t>
  </si>
  <si>
    <t>22.1.2</t>
  </si>
  <si>
    <t>22.1.3</t>
  </si>
  <si>
    <t>22.2</t>
  </si>
  <si>
    <t>22.2.1</t>
  </si>
  <si>
    <t>22.2.2</t>
  </si>
  <si>
    <t>22.2.3</t>
  </si>
  <si>
    <t>22.2.4</t>
  </si>
  <si>
    <t>22.2.5</t>
  </si>
  <si>
    <t>22.2.6</t>
  </si>
  <si>
    <t>22.2.7</t>
  </si>
  <si>
    <t>22.2.8</t>
  </si>
  <si>
    <t>22.2.9</t>
  </si>
  <si>
    <t>18.3</t>
  </si>
  <si>
    <t>Fornecimento e execução de estrutura metálica de apoio à cobertura.</t>
  </si>
  <si>
    <t>Rufos e calhas para a cobertura metálica especificada.</t>
  </si>
  <si>
    <t>263-ORC-PB-001-R00</t>
  </si>
  <si>
    <t xml:space="preserve">1 / 2 - LAJE COM ACABAMENTO EM PINTURA ACRÍLICA BRANCA. </t>
  </si>
  <si>
    <t>3/ 4/ 6/ 7 - GESSO ACARTONADO COM ACABAMENTO EM PINTURA ACRÍLICA BRANCA E BORDA TABICADA. (ver altura do forro no projeto de arquitetura)</t>
  </si>
  <si>
    <t>02-01-85</t>
  </si>
  <si>
    <t>03-03-23</t>
  </si>
  <si>
    <t>02-04-07</t>
  </si>
  <si>
    <t>COD</t>
  </si>
  <si>
    <t>03-01-17</t>
  </si>
  <si>
    <t>03-02-04</t>
  </si>
  <si>
    <t>04-01-42</t>
  </si>
  <si>
    <t>04-01-41</t>
  </si>
  <si>
    <t>04-01-40</t>
  </si>
  <si>
    <t>04-01-98</t>
  </si>
  <si>
    <t>05-01-40</t>
  </si>
  <si>
    <t>13-02-01</t>
  </si>
  <si>
    <t>13-02-05</t>
  </si>
  <si>
    <t>13-02-38</t>
  </si>
  <si>
    <t>13-02-58</t>
  </si>
  <si>
    <t>13-02-47</t>
  </si>
  <si>
    <t>13-03-36</t>
  </si>
  <si>
    <t>13-02-03</t>
  </si>
  <si>
    <t>11-02-01</t>
  </si>
  <si>
    <t>11-02-08</t>
  </si>
  <si>
    <t>11-02-13</t>
  </si>
  <si>
    <t>11-02-25</t>
  </si>
  <si>
    <t>11-02-75</t>
  </si>
  <si>
    <t>15-01-10</t>
  </si>
  <si>
    <t>11-01-01</t>
  </si>
  <si>
    <t>11-01-08</t>
  </si>
  <si>
    <t>11-01-13</t>
  </si>
  <si>
    <t>12-01-42</t>
  </si>
  <si>
    <t>08-02-51</t>
  </si>
  <si>
    <t>08-01-45</t>
  </si>
  <si>
    <t>08-02-66</t>
  </si>
  <si>
    <t>08-01-40</t>
  </si>
  <si>
    <t>07-01-12</t>
  </si>
  <si>
    <t>PM-01 - PORTA de madeira lisa comum/encabeçada com pintura branca seladora 0,82 x 2,10 m</t>
  </si>
  <si>
    <t>PM-02 - PORTA de madeira lisa comum/encabeçada com pintura branca seladora 0,62 x 2,10 m</t>
  </si>
  <si>
    <t>PM-03 - PORTA de madeira lisa comum/encabeçada com pintura branca seladora 1,52 x 2,10 m</t>
  </si>
  <si>
    <t>17-05-20
17-05-21</t>
  </si>
  <si>
    <t>17-05-25</t>
  </si>
  <si>
    <t>08-01-50</t>
  </si>
  <si>
    <t>13-04-05</t>
  </si>
  <si>
    <t>11-04-58</t>
  </si>
  <si>
    <t>10-14-76</t>
  </si>
  <si>
    <t>10-14-10</t>
  </si>
  <si>
    <t>10-80-70</t>
  </si>
  <si>
    <t>10-13-03</t>
  </si>
  <si>
    <t>10-13-25</t>
  </si>
  <si>
    <t>10-14-33</t>
  </si>
  <si>
    <t>10-14-15</t>
  </si>
  <si>
    <t>14-01-70</t>
  </si>
  <si>
    <t>10-14-52</t>
  </si>
  <si>
    <t>10-14-66</t>
  </si>
  <si>
    <t>11.1</t>
  </si>
  <si>
    <t>11.1.2</t>
  </si>
  <si>
    <t>11.4</t>
  </si>
  <si>
    <t>11.4.1</t>
  </si>
  <si>
    <t>11.4.2</t>
  </si>
  <si>
    <t>11.4.3</t>
  </si>
  <si>
    <t>11.4.4</t>
  </si>
  <si>
    <t>11.4.5</t>
  </si>
  <si>
    <t>11.4.6</t>
  </si>
  <si>
    <t>11.5.1</t>
  </si>
  <si>
    <t>12.1</t>
  </si>
  <si>
    <t>12.8</t>
  </si>
  <si>
    <t>12.9</t>
  </si>
  <si>
    <t>12.10</t>
  </si>
  <si>
    <t>12.11</t>
  </si>
  <si>
    <t>12.12</t>
  </si>
  <si>
    <t>12.13</t>
  </si>
  <si>
    <t>12.14</t>
  </si>
  <si>
    <t>13.1.1</t>
  </si>
  <si>
    <t>13.2.1</t>
  </si>
  <si>
    <t>13.3.1</t>
  </si>
  <si>
    <t>13.3.1.1</t>
  </si>
  <si>
    <t>13.3.1.2</t>
  </si>
  <si>
    <t>13.3.1.3</t>
  </si>
  <si>
    <t>13.3.1.4</t>
  </si>
  <si>
    <t>13.3.1.5</t>
  </si>
  <si>
    <t>13.3.1.6</t>
  </si>
  <si>
    <t>13.3.1.8</t>
  </si>
  <si>
    <t>13.3.1.12</t>
  </si>
  <si>
    <t>13.4.1</t>
  </si>
  <si>
    <t>14.6</t>
  </si>
  <si>
    <t>16.1.2</t>
  </si>
  <si>
    <t>15.2.1</t>
  </si>
  <si>
    <t>15.2.2</t>
  </si>
  <si>
    <t>15.2.3</t>
  </si>
  <si>
    <t>15.2.4</t>
  </si>
  <si>
    <t>15.2.5</t>
  </si>
  <si>
    <t>15.2.6</t>
  </si>
  <si>
    <t>15.2.7</t>
  </si>
  <si>
    <t>15.3.1</t>
  </si>
  <si>
    <t>15.3.2</t>
  </si>
  <si>
    <t>15.3.3</t>
  </si>
  <si>
    <t>15.3.4</t>
  </si>
  <si>
    <t>05-01-30</t>
  </si>
  <si>
    <t>05-02-02</t>
  </si>
  <si>
    <t>Terra preparada para o plantio (20cm)</t>
  </si>
  <si>
    <t>18-03-07</t>
  </si>
  <si>
    <t>05-45-00</t>
  </si>
  <si>
    <t>18-80-11</t>
  </si>
  <si>
    <t>18-12-12</t>
  </si>
  <si>
    <t>17-30-02</t>
  </si>
  <si>
    <t>Serviços Iniciais</t>
  </si>
  <si>
    <t>1.1.1</t>
  </si>
  <si>
    <t>1.1.2</t>
  </si>
  <si>
    <t>1.1.3</t>
  </si>
  <si>
    <t>1.1.4</t>
  </si>
  <si>
    <t>1.2.1</t>
  </si>
  <si>
    <t>1.2.2</t>
  </si>
  <si>
    <t>1.2.3</t>
  </si>
  <si>
    <t>1.2.4</t>
  </si>
  <si>
    <t>1.2.5</t>
  </si>
  <si>
    <t>1.2.6</t>
  </si>
  <si>
    <t>1.1.5</t>
  </si>
  <si>
    <t>1.1.6</t>
  </si>
  <si>
    <t>1.1.7</t>
  </si>
  <si>
    <t>1.1.8</t>
  </si>
  <si>
    <t>04-02-00</t>
  </si>
  <si>
    <t>04-35-00</t>
  </si>
  <si>
    <t>04-08-00</t>
  </si>
  <si>
    <t>13-01-14</t>
  </si>
  <si>
    <t>05-03-54</t>
  </si>
  <si>
    <t>08-01-40
08-02-51</t>
  </si>
  <si>
    <t>AL-03 - PORTA e JANELA de alumínio  1,15 x 2,10 / 3,45 x 1,50 - com pintura anodizada de interferência cor Titanium Fosco  Prodec</t>
  </si>
  <si>
    <t>08-02-53</t>
  </si>
  <si>
    <t>AL-09 - JANELA de alumínio  2,40 x 2,00 - com pintura anodizada de interferência cor Titanium Fosco  Prodec</t>
  </si>
  <si>
    <t>AL-10 - JANELA com vidro de segurança laminado incolor 3,60 x 1,50 - com pintura anodizada de interferência cor Titanium Fosco  Prodec</t>
  </si>
  <si>
    <t>AL-11 - JANELA com vidro de segurança laminado incolor 0,75 x 1,50 - com pintura anodizada de interferência cor Titanium Fosco  Prodec</t>
  </si>
  <si>
    <t>14-01-30
08-02-51</t>
  </si>
  <si>
    <t>AL-07 - JANELA de alumínio  0,50 x 0,50 - com pintura anodizada de interferência cor Titanium Fosco  Prodec</t>
  </si>
  <si>
    <t>07-01-46</t>
  </si>
  <si>
    <t>07-09-19</t>
  </si>
  <si>
    <t>PM-04 - PORTA de madeira para armário técnico 1 - 6,15 x 2,80.</t>
  </si>
  <si>
    <t>PM-05 - PORTA de madeira para armário técnico 2 - 3,40 x 2,80.</t>
  </si>
  <si>
    <t>17-05-90</t>
  </si>
  <si>
    <t>17-05-91</t>
  </si>
  <si>
    <t>10-11-92</t>
  </si>
  <si>
    <t>17-05-24</t>
  </si>
  <si>
    <t>17-01-97</t>
  </si>
  <si>
    <t>17-05-61</t>
  </si>
  <si>
    <t>14-01-50</t>
  </si>
  <si>
    <t>06-01-30
06-01-31</t>
  </si>
  <si>
    <t>06-02-43</t>
  </si>
  <si>
    <t>06-02-91</t>
  </si>
  <si>
    <t>17-04-01</t>
  </si>
  <si>
    <t>TELHA SANDUÍCHE - isotelha trapezoidal térmica em aço galvalume com núcleo isolante térmico em PIR AP, cor RAL 7035 (cinza) Peso = 10,49 Kg/m². Ref.: Kingspan Isoeste.</t>
  </si>
  <si>
    <t>18.4</t>
  </si>
  <si>
    <t>TELHA TRANSLÚCIDA ISOLUZ - isotelha trapezoidal co-extrudada de policarbonato com proteção de raios UV, e=30mm, dispersão da luz de até 90%. Peso = 3,2 Kg/m². Ref.: Kingspan Isoeste.</t>
  </si>
  <si>
    <t>7.1.10</t>
  </si>
  <si>
    <t>8.7</t>
  </si>
  <si>
    <t xml:space="preserve">8  - LAJE COM ACABAMENTO EM PINTURA EXTERIOR LATEX AMARELO SOBRE CONCRETO - RADIAL LESTE.
REF.: </t>
  </si>
  <si>
    <t>4.1.6</t>
  </si>
  <si>
    <t>10 - PINTURA EXTERIOR LATEX AMARELO SOBRE CONCRETO - RADIAL LESTE (paredes e  pilares)</t>
  </si>
  <si>
    <t>ESCAVACAO mecânica campo aberto em solo exceto rocha até 2,00m profundidade, para fundação dos blocos.</t>
  </si>
  <si>
    <t>FONTE</t>
  </si>
  <si>
    <t>SIURB</t>
  </si>
  <si>
    <t>14.30.900</t>
  </si>
  <si>
    <t>CDHU</t>
  </si>
  <si>
    <t>14.30.310</t>
  </si>
  <si>
    <t>4.1.7</t>
  </si>
  <si>
    <t>14.30.410</t>
  </si>
  <si>
    <t>4.1.8</t>
  </si>
  <si>
    <t>17.20.060</t>
  </si>
  <si>
    <t>AL-15 - JANELA de alumínio para fachada - com pintura anodizada de interferência cor Titanium Fosco  Prodec. (ver detalhe)</t>
  </si>
  <si>
    <t>24.03.290</t>
  </si>
  <si>
    <t>24.03.680</t>
  </si>
  <si>
    <t>3 - LAVATÓRIO "DECA" LINHA VOGUE PLUS COD: L.51.17 (PNEs/ PRIVATIVOS CJ)
     COLUNA PARA LAVATÓRIO "DECA" LINHA VOGUE PLUS COD: CS.1.17 (PRIVATIVOS CJ)</t>
  </si>
  <si>
    <t>4 - LAVATÓRIO "DECA" LINHA VOGUE PLUS COD: L.51.17 (PNEs/ PRIVATIVOS CJ)
     COLUNA SUSPENSA PARA LAVATÓRIO "DECA" LINHA VOGUE PLUS COD: CS.1.17 (PNEs)</t>
  </si>
  <si>
    <t>5 - SIFÃO EXTENSÍVEL UNIVERSAL 150cm "DOCOL" Ref.: 00796626.</t>
  </si>
  <si>
    <t>6 - BACIA COM CAIXA ACOPLADA "DECA" IZY CONFORTO  BRANCO COM ACIONAMENTO DUO. 
Ref.: P.115.17 / CDC.00F17</t>
  </si>
  <si>
    <t>7 - MICTÓRIO ANTIVANDALISMO COM SIFÃO INTEGRADO "DECA". REF: M.713.17.</t>
  </si>
  <si>
    <t>8 - VÁLVULA DE MICTÓRIO COM FECHAMENTO AUTOMÁTICO "DECA". REF: 2570.C.</t>
  </si>
  <si>
    <t xml:space="preserve">9 - ACABAMENTO PARA REGISTRO “DECA” IZY ATÉ 1” E PRESSÃO 1/2" E 3/4 </t>
  </si>
  <si>
    <t>10 - ESPELHO 54 x 120 cm (SANITÁRIOS EVENTOS/ PNEs)</t>
  </si>
  <si>
    <t>11 - DISPENSER DE SABONETE LÍQUIDO PADRÃO (SANITÁRIOS EVENTOS/ PNEs)</t>
  </si>
  <si>
    <t>12 - TOALHEIRO PADRÃO (SANITÁRIOS EVENTOS/ PNEs)</t>
  </si>
  <si>
    <t>44.01.110</t>
  </si>
  <si>
    <t>44.01.240</t>
  </si>
  <si>
    <t>35.04.130</t>
  </si>
  <si>
    <t>14.30.070</t>
  </si>
  <si>
    <t>Demolições / Bota fora</t>
  </si>
  <si>
    <t>Demolições de Sarjeta  e remoção de entulho</t>
  </si>
  <si>
    <t>1.2.7</t>
  </si>
  <si>
    <t>1.2.8</t>
  </si>
  <si>
    <t>05-03-00</t>
  </si>
  <si>
    <t>17-50-45</t>
  </si>
  <si>
    <t>17-50-48</t>
  </si>
  <si>
    <t>09-53-60</t>
  </si>
  <si>
    <t>01-01-07</t>
  </si>
  <si>
    <t>Demolições de guia e remoção de entulho</t>
  </si>
  <si>
    <t>Demolições de piso para blocos de fundação e remoção de entulho (Radial)</t>
  </si>
  <si>
    <t>Demolição de canteiro central e remoção de entulho (área da Radial Leste sob Quadra 
 Superior)</t>
  </si>
  <si>
    <t>Tubo 66mm ( 2.1/2")</t>
  </si>
  <si>
    <t>Joelho 90º - 66mm  (2 1/2")</t>
  </si>
  <si>
    <t>Válvula Esfera(2 1/2")</t>
  </si>
  <si>
    <t>Te - 66mm  (2 1/2")</t>
  </si>
  <si>
    <t>Tubo 35mm ( 1.1/4")</t>
  </si>
  <si>
    <t>Joelho 90º - 35mm ( 1.1/4")</t>
  </si>
  <si>
    <t>Te -  35mm ( 1.1/4")</t>
  </si>
  <si>
    <t>Válvula Esfera( 1.1/4")</t>
  </si>
  <si>
    <t>CABINE PRIMÁRIA SIMPLIFICADA - Cabine blindada para uso interno até 500 kVA do tipo compacta , homologada pela ENEL</t>
  </si>
  <si>
    <t>TRANSFORMADOR À SECO 500 KVA - Transformador à seco , potência 500 kVA, uso interno, IP-00</t>
  </si>
  <si>
    <t>36.09.220</t>
  </si>
  <si>
    <t>Caixa de medição externa tipo ´N´ (1300 x 1200 x 270) mm, padrão ENEL</t>
  </si>
  <si>
    <t>Caixa de entrada tipo ´E´ (560 x 350 x 210) mm ‐ ENEL</t>
  </si>
  <si>
    <t>36.03.150</t>
  </si>
  <si>
    <t>Caixa para seccionadora tipo ´T´ (900 x 600 x 250) mm, padrão ENEL</t>
  </si>
  <si>
    <t>36.03.080</t>
  </si>
  <si>
    <t xml:space="preserve">Quadro de distribuição universal de embutir, para disjuntores 24 DIN /
18 Bolt‐on ‐ 150 A </t>
  </si>
  <si>
    <t>37.03.210</t>
  </si>
  <si>
    <t xml:space="preserve">QD -  TÍPICO (Sala Comercial) - Chapa metalica, sobrepor, barramento trifasico, neutro e terra. </t>
  </si>
  <si>
    <t>Interruptor DR 10A  30mA 2P</t>
  </si>
  <si>
    <t xml:space="preserve">Disjuntor bipolar 16A </t>
  </si>
  <si>
    <t>QD -  Equipamentos Especificos (QGBT)</t>
  </si>
  <si>
    <t>QD -  Equipamentos Especificos Elevadores</t>
  </si>
  <si>
    <t>QD -  Equipamentos Especificos Bombas</t>
  </si>
  <si>
    <t>Não definido</t>
  </si>
  <si>
    <t>Ponto de tomada</t>
  </si>
  <si>
    <t>Ponto de interruptores</t>
  </si>
  <si>
    <t>Ponto de iluminação (interna e externo)</t>
  </si>
  <si>
    <t>Caixa do DG de 1,20m x 1,20m x  0,15</t>
  </si>
  <si>
    <t>Caixa passagem 60x60cm (por andar)</t>
  </si>
  <si>
    <t>Sistemas - tv, telefone, interfone (Somente Infra-estrutura)</t>
  </si>
  <si>
    <t xml:space="preserve">Bomba recalque centrifuga agua fria Q=8,0m3/h   hm=30mca </t>
  </si>
  <si>
    <t>Resevatório e Bombas</t>
  </si>
  <si>
    <t xml:space="preserve"> Tubo 50 mm (1.1/2")</t>
  </si>
  <si>
    <t>Flange - 50mm</t>
  </si>
  <si>
    <t>Registro de Gaveta - 1. 1/2"</t>
  </si>
  <si>
    <t>Registro de Gaveta - 2"</t>
  </si>
  <si>
    <t xml:space="preserve"> Tubo 60 mm (2")</t>
  </si>
  <si>
    <t>Terminal de Ventilação - 75mm</t>
  </si>
  <si>
    <t>Caixa de gordura de concreto 50L</t>
  </si>
  <si>
    <t>Luva de 100mm</t>
  </si>
  <si>
    <t>Caixa de Passagem de alvenaria na Av Radial de 60x60x60</t>
  </si>
  <si>
    <t>2.1.2</t>
  </si>
  <si>
    <t>2.1.5</t>
  </si>
  <si>
    <t>02-01-81</t>
  </si>
  <si>
    <t>02-01-83</t>
  </si>
  <si>
    <t>12.12.090</t>
  </si>
  <si>
    <t>03-02-07</t>
  </si>
  <si>
    <t>CLIENTE: SPP</t>
  </si>
  <si>
    <t>QUADRA SUPERIOR - RADIAL +  ESPLANADA+ CENTRO COMERCIAL</t>
  </si>
  <si>
    <t>Demolições de piso e remoção de entulho junto a Avenida Liberdade ao lado Extra</t>
  </si>
  <si>
    <t>8 - GRANITO Branco Itaúnas. (Cotação similar da tabela SIURB - Granito Cinza Mauá)</t>
  </si>
  <si>
    <r>
      <t xml:space="preserve">Fornecimento e cravamento de 42 ESTACAS com </t>
    </r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 xml:space="preserve"> 30cm comprimento = 14m a partir da cota do terreno atual</t>
    </r>
  </si>
  <si>
    <r>
      <t xml:space="preserve">Fornecimento e cravamento de 69 ESTACAS com </t>
    </r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 xml:space="preserve"> 40cm comprimento = 14m a partir da cota do terreno atual</t>
    </r>
  </si>
  <si>
    <r>
      <t xml:space="preserve">Fornecimento e cravamento de 66 ESTACAS com </t>
    </r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 xml:space="preserve"> 50cm comprimento = 14m a partir da cota do terreno atual</t>
    </r>
  </si>
  <si>
    <r>
      <t xml:space="preserve">Fornecimento e cravamento de 12 ESTACAS com </t>
    </r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 xml:space="preserve"> 60cm comprimento = 14m a partir da cota do terreno atual</t>
    </r>
  </si>
  <si>
    <r>
      <t xml:space="preserve">Fornecimento e cravamento de 24 ESTACAS com </t>
    </r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 xml:space="preserve"> 70cm comprimento = 14m a partir da cota do terreno atual</t>
    </r>
  </si>
  <si>
    <t>9.1.8</t>
  </si>
  <si>
    <t>11.1.1</t>
  </si>
  <si>
    <t>11.1.3</t>
  </si>
  <si>
    <t>11.1.4</t>
  </si>
  <si>
    <t>11.1.5</t>
  </si>
  <si>
    <t>11.1.6</t>
  </si>
  <si>
    <t>13.5.5</t>
  </si>
  <si>
    <t>14.2</t>
  </si>
  <si>
    <t>14.4</t>
  </si>
  <si>
    <t>14.5</t>
  </si>
  <si>
    <t>14.7</t>
  </si>
  <si>
    <t>14.8</t>
  </si>
  <si>
    <t>14.9</t>
  </si>
  <si>
    <t>46.10.250</t>
  </si>
  <si>
    <t>97.02.195</t>
  </si>
  <si>
    <t>97.02.194</t>
  </si>
  <si>
    <t>10-08-92</t>
  </si>
  <si>
    <t>10-08-85</t>
  </si>
  <si>
    <t>09-05-25</t>
  </si>
  <si>
    <t>09-02-11</t>
  </si>
  <si>
    <t>50.05.440</t>
  </si>
  <si>
    <t>09-10-54</t>
  </si>
  <si>
    <t>50.05.170</t>
  </si>
  <si>
    <t>09-10-63</t>
  </si>
  <si>
    <t>09-10-53</t>
  </si>
  <si>
    <t>05-04-60</t>
  </si>
  <si>
    <t>Lajes Alveolares Protendida 125x750x20h</t>
  </si>
  <si>
    <t>3.6</t>
  </si>
  <si>
    <t xml:space="preserve">Concreto de capeametno das lajes alveolares </t>
  </si>
  <si>
    <t>CONCRETO Usinado bombeado fck=35</t>
  </si>
  <si>
    <t>3.7</t>
  </si>
  <si>
    <t>Armadura de aço para capeamento da laje</t>
  </si>
  <si>
    <t>1.2.9</t>
  </si>
  <si>
    <t>1.2.10</t>
  </si>
  <si>
    <t xml:space="preserve">Remoção de postes de iluminação na Radial Leste </t>
  </si>
  <si>
    <t>02.10.020</t>
  </si>
  <si>
    <t>02.02.130</t>
  </si>
  <si>
    <t>ABRIGO PROVISÓRIO de madeira executado na obra para alojamento e depósito de materiais, ferramentas e carpintaria  da obra com tamanho de 6,00x3,00m (3x), incluindo o piso cimentado e instalações eletrica.</t>
  </si>
  <si>
    <t>93584</t>
  </si>
  <si>
    <t>SINAPI</t>
  </si>
  <si>
    <t>93212</t>
  </si>
  <si>
    <t>01-05-02</t>
  </si>
  <si>
    <t>01-05-06</t>
  </si>
  <si>
    <r>
      <t xml:space="preserve">OBRA: </t>
    </r>
    <r>
      <rPr>
        <sz val="11"/>
        <rFont val="Tahoma"/>
        <family val="2"/>
      </rPr>
      <t>Av Liberdade (Quadra Superior)</t>
    </r>
  </si>
  <si>
    <t>04-01-61</t>
  </si>
  <si>
    <t>01-01-10</t>
  </si>
  <si>
    <t>ALVENARIA Armada em bloco de concreto para contenção talude jardim (espessura 19 cm) junto a contenção existente da Radial Leste (Estimado)</t>
  </si>
  <si>
    <t>01-02-05</t>
  </si>
  <si>
    <t>13-80-18</t>
  </si>
  <si>
    <t xml:space="preserve">PINTURA NAS LATERAIS DAS JANELAS </t>
  </si>
  <si>
    <r>
      <rPr>
        <b/>
        <sz val="11"/>
        <rFont val="Calibri"/>
        <family val="2"/>
        <scheme val="minor"/>
      </rPr>
      <t xml:space="preserve">7 - REVESTIMENTO EXTERNO EM MADEIRA TRATADA </t>
    </r>
    <r>
      <rPr>
        <sz val="11"/>
        <rFont val="Calibri"/>
        <family val="2"/>
        <scheme val="minor"/>
      </rPr>
      <t>E/OU - FÓRMICA TS EXTERIOR PARA FACHADAS SOBRE REBOCO. VEIOS EM SENTIDO HORIZONTAL. COD. PADRÃO: M911 - ALPINO WALNUT (PILARES DA FACHADA/ ARQUIBANCADA)</t>
    </r>
  </si>
  <si>
    <t>RETIRADA de  de entulho / terra com transporte com a retroescavadeira e caminhão basculante até a cota do 2ºSubsolo ( com 30% de empolamento)</t>
  </si>
  <si>
    <t>Reaterro parcial na forma de talude nos jardins adjacentes e oriental  (com retração de 10%)</t>
  </si>
  <si>
    <r>
      <t xml:space="preserve">AL-14 - FECHAMENTO em chapa de aço galvanizada perfurada com requadro em chapa dobrada (ver detalhe). </t>
    </r>
    <r>
      <rPr>
        <b/>
        <sz val="11"/>
        <rFont val="Calibri"/>
        <family val="2"/>
        <scheme val="minor"/>
      </rPr>
      <t>Obs Somente chapa - a avaliar corte e detalhes</t>
    </r>
  </si>
  <si>
    <r>
      <rPr>
        <b/>
        <sz val="11"/>
        <rFont val="Calibri"/>
        <family val="2"/>
        <scheme val="minor"/>
      </rPr>
      <t>5 - REVESTIMENTO EXTERNO EM MADEIRA TRATADA E/OU</t>
    </r>
    <r>
      <rPr>
        <sz val="11"/>
        <rFont val="Calibri"/>
        <family val="2"/>
        <scheme val="minor"/>
      </rPr>
      <t xml:space="preserve">  ELEMENTO ARQUITETÔNICO EM FÓRMICA TS EXTERIOR PARA FACHADAS SOBRE REBOCO. VEIOS EM SENTIDO HORIZONTAL. COD. PADRÃO: M911 - ALPINO WALNUT</t>
    </r>
  </si>
  <si>
    <t>17-10-04</t>
  </si>
  <si>
    <t>17-10-03</t>
  </si>
  <si>
    <t>EF-23 - ELEMENTO DE COMPOSIÇÃO DE FACHADA (20x40) e/ou Madeira tratada</t>
  </si>
  <si>
    <t>37.17.060</t>
  </si>
  <si>
    <t>37.24.044</t>
  </si>
  <si>
    <t>37.13.600</t>
  </si>
  <si>
    <t>09-08-80</t>
  </si>
  <si>
    <t>09-02-14</t>
  </si>
  <si>
    <t>09-05-43</t>
  </si>
  <si>
    <t>09-05-64</t>
  </si>
  <si>
    <t>09-05-14</t>
  </si>
  <si>
    <t>09-83-90</t>
  </si>
  <si>
    <t>09-11-14</t>
  </si>
  <si>
    <t>09-06-94</t>
  </si>
  <si>
    <t>09-11-94</t>
  </si>
  <si>
    <t>42.05.370</t>
  </si>
  <si>
    <t>09-11-05</t>
  </si>
  <si>
    <t>09-84-18</t>
  </si>
  <si>
    <t>09-04-03</t>
  </si>
  <si>
    <t>42.04.060</t>
  </si>
  <si>
    <t>12.3</t>
  </si>
  <si>
    <t>12.5</t>
  </si>
  <si>
    <t>12.6</t>
  </si>
  <si>
    <t>12.7</t>
  </si>
  <si>
    <t>46.10.220</t>
  </si>
  <si>
    <t>47.07.031</t>
  </si>
  <si>
    <t>47.07.090</t>
  </si>
  <si>
    <t>50.01.060</t>
  </si>
  <si>
    <t>10-05-60</t>
  </si>
  <si>
    <t>10-08-73</t>
  </si>
  <si>
    <t>10-08-68</t>
  </si>
  <si>
    <t>43.10.454</t>
  </si>
  <si>
    <t>47.05.060</t>
  </si>
  <si>
    <t>50.01.090</t>
  </si>
  <si>
    <t>36.01.260</t>
  </si>
  <si>
    <t>Luminárias não incluso no quantitativo</t>
  </si>
  <si>
    <r>
      <t>1-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Impermeabilizante incorporado ao concreto (Tipo Penetron Admix ou equivalente) (consumo: conforme fabricante) + preparação da superfície. (piso sobre terra)</t>
    </r>
  </si>
  <si>
    <t>2 - Membrana de poliuretano bicomponente (tipo Masterpur VD ou equivalente) + regularização.
(área molhada sobre laje)</t>
  </si>
  <si>
    <t>3- Manta asfáltica, 3mm, tipo III-B, AA ou AP, aderida com asfalto oxidado + Manta asfáltica, 4mm, tipo IV-B, AA ou AP, aderida com asfalto oxidado + regularização. (laje de cobertura)</t>
  </si>
  <si>
    <t>4 - Sistema pré-fabricado de drenagem tipo Macdrain ou equivalente (consumo: conforme fabricante)
(cortinas)</t>
  </si>
  <si>
    <t>5 - Argamassa bicomponente a base de ligantes cimentícios (tipo Mapelastic Smart ou equivalente) + tratamento de teto com argamassa polimérica flexível. (consumo: conforme fabricante) 
(caixa d'água)</t>
  </si>
  <si>
    <t>6 - Cristalização (poço de elevador)</t>
  </si>
  <si>
    <t>36.03.050</t>
  </si>
  <si>
    <t>ELEVADOR sem casa de máquinas - 4 paradas - Percurso 12,72m - Cabine com acabamento em Inox Escovado. Ref.: Otis / Villarta</t>
  </si>
  <si>
    <t>ELEVADOR sem casa de máquinas - 5 paradas - Percurso 17,52m - Cabine com acabamento em Inox Escovado. Ref.: Otis  / Villarta.</t>
  </si>
  <si>
    <t>CLIMATIZAÇÃO (Quadra Superior e Central)</t>
  </si>
  <si>
    <t xml:space="preserve">Equipamentos </t>
  </si>
  <si>
    <t>Instalação</t>
  </si>
  <si>
    <t>Infraestrutura</t>
  </si>
  <si>
    <t>Infraestrutura para 35 conjuntos (Quadra superior e central)</t>
  </si>
  <si>
    <t>Instalação das unidades condensadoras - 35 conjuntos</t>
  </si>
  <si>
    <t>GL</t>
  </si>
  <si>
    <t>Unidades Condensadoras (35 condensadoras para conjuntos) - VRV 220V - Ref. Trane</t>
  </si>
  <si>
    <t>glob</t>
  </si>
  <si>
    <t>Infraestrutura no Mall (área comum do centro comercial) da (Quadra superior e central)</t>
  </si>
  <si>
    <t>Unidades Condensadoras (4 condensadoras para hall / área comum) - VRV 220V - Ref. Trane</t>
  </si>
  <si>
    <t>Sistema de renovação de ar</t>
  </si>
  <si>
    <t>Sistema de renovação de ar com 12 pçs - Caixas de ventilação com filtros + rede dutos em chapa galvanizada, quadros elétricos  e difusão de ar</t>
  </si>
  <si>
    <t xml:space="preserve">Não inclui a unidade evaporadora (Cassete ou hi wall) </t>
  </si>
  <si>
    <t>Junta de dilatação</t>
  </si>
  <si>
    <t>3.8</t>
  </si>
  <si>
    <t>08-58-00</t>
  </si>
  <si>
    <t>Piso Externo (pavimentação / paisagismo)</t>
  </si>
  <si>
    <t>9 - Execução de GAZEBO em laje existente (pergolado)</t>
  </si>
  <si>
    <t>11.2</t>
  </si>
  <si>
    <t>11.3</t>
  </si>
  <si>
    <r>
      <t xml:space="preserve">Luminárias </t>
    </r>
    <r>
      <rPr>
        <sz val="11"/>
        <rFont val="Tahoma"/>
        <family val="2"/>
      </rPr>
      <t>(+Lâmpada)</t>
    </r>
  </si>
  <si>
    <t>11.4.7</t>
  </si>
  <si>
    <t>11.4.8</t>
  </si>
  <si>
    <t>11.4.9</t>
  </si>
  <si>
    <t>11.4.10</t>
  </si>
  <si>
    <t>11.4.11</t>
  </si>
  <si>
    <t>11.3.1</t>
  </si>
  <si>
    <t>11.3.2</t>
  </si>
  <si>
    <t>11.3.3</t>
  </si>
  <si>
    <t>11.3.4</t>
  </si>
  <si>
    <t>11.3.5</t>
  </si>
  <si>
    <t>11.3.6</t>
  </si>
  <si>
    <t>11.2.1</t>
  </si>
  <si>
    <t>11.2.2</t>
  </si>
  <si>
    <t>11.2.3</t>
  </si>
  <si>
    <t>11.2.4</t>
  </si>
  <si>
    <t>11.2.5</t>
  </si>
  <si>
    <t>11.2.6</t>
  </si>
  <si>
    <t>11.2.7</t>
  </si>
  <si>
    <t>11.2.8</t>
  </si>
  <si>
    <t>11.2.9</t>
  </si>
  <si>
    <t>11.2.10</t>
  </si>
  <si>
    <t>11.2.11</t>
  </si>
  <si>
    <t>11.2.12</t>
  </si>
  <si>
    <t>11.2.13</t>
  </si>
  <si>
    <r>
      <t>Acabamentos</t>
    </r>
    <r>
      <rPr>
        <sz val="11"/>
        <rFont val="Tahoma"/>
        <family val="2"/>
      </rPr>
      <t xml:space="preserve"> - Tomadas, interruptor e Outros</t>
    </r>
  </si>
  <si>
    <t>7 - POÇO para caule de árvore existente a permanecer (respiro) - Estimativa do maciço arbóreo</t>
  </si>
  <si>
    <t>PORTAO em chapa aço galvanizado, painel único, com duas folhas, 3mx2,10m, incluso cadeado (6x)</t>
  </si>
  <si>
    <t>Pavimentação (Arruamento)</t>
  </si>
  <si>
    <t>Fornecimento e execução de nova sarjeta</t>
  </si>
  <si>
    <t>05-19-01</t>
  </si>
  <si>
    <t>Fornecimento e execução de nova guia</t>
  </si>
  <si>
    <t>05-14-02</t>
  </si>
  <si>
    <t>17-02-54</t>
  </si>
  <si>
    <t>5.3</t>
  </si>
  <si>
    <t>5.3.1</t>
  </si>
  <si>
    <t>5.3.2</t>
  </si>
  <si>
    <t>5.3.3</t>
  </si>
  <si>
    <t>5.3.4</t>
  </si>
  <si>
    <t>5.3.5</t>
  </si>
  <si>
    <t>Alargamento do passeio e canteiro central</t>
  </si>
  <si>
    <t>Rebaixamento de guia (Acessibilidade) - 4 pontos</t>
  </si>
  <si>
    <t>5.3.6</t>
  </si>
  <si>
    <t>Revitalização de passeios</t>
  </si>
  <si>
    <t>Revitalização de canteiros centrais</t>
  </si>
  <si>
    <t>5.3.7</t>
  </si>
  <si>
    <t>5.3.8</t>
  </si>
  <si>
    <t>05-44-00</t>
  </si>
  <si>
    <t>05-87-00</t>
  </si>
  <si>
    <t>Defensa metálica galvanizada, tipo semi-maleável simples canteiro central (guard rail)</t>
  </si>
  <si>
    <t>05-42-00</t>
  </si>
  <si>
    <t>54.03.221</t>
  </si>
  <si>
    <t>Recapeamento Radial Leste - Binder</t>
  </si>
  <si>
    <t>Recapeamento Radial Leste - Capa</t>
  </si>
  <si>
    <t>54.03.200</t>
  </si>
  <si>
    <t>Perfil Metálico "VS" (2x13) - ASTM A572 42 - Galvanizado à fogo - Parafusado em apoio do pilar</t>
  </si>
  <si>
    <t>5.3.9</t>
  </si>
  <si>
    <t>Ref. Tatu Lajes/Guindast</t>
  </si>
  <si>
    <t>Caixa Sifonada - 100mm</t>
  </si>
  <si>
    <t>DIVISÓRIA em placas duplas de gesso acartonado, 2ST/2ST com isolamento em lã mineral (e = 10cm) (entre conjuntos/ mall)</t>
  </si>
  <si>
    <t>DIVISÓRIA em placas de gesso acartonado, ST/ST (e = 10cm) (repartições dentro dos conjuntos)</t>
  </si>
  <si>
    <t>DIVISÓRIA em placas de gesso acartonado, RU/RU (e = 10cm) (lavabos)</t>
  </si>
  <si>
    <t xml:space="preserve">Joelho - 90º - 100mm                                                                                            </t>
  </si>
  <si>
    <t>RESERVATORIO de água 30000L Fortlev</t>
  </si>
  <si>
    <t>2.1.6</t>
  </si>
  <si>
    <t>2.1.7</t>
  </si>
  <si>
    <t>13.2.2</t>
  </si>
  <si>
    <t>13.1.1.1</t>
  </si>
  <si>
    <t>13.1.1.2</t>
  </si>
  <si>
    <t>13.1.1.3</t>
  </si>
  <si>
    <t>13.1.1.4</t>
  </si>
  <si>
    <t>13.1.1.5</t>
  </si>
  <si>
    <t>13.1.1.6</t>
  </si>
  <si>
    <t>13.1.1.7</t>
  </si>
  <si>
    <t>13.1.1.8</t>
  </si>
  <si>
    <t>13.1.1.9</t>
  </si>
  <si>
    <t>13.1.1.10</t>
  </si>
  <si>
    <t>13.1.1.11</t>
  </si>
  <si>
    <t>13.1.1.12</t>
  </si>
  <si>
    <t>13.1.1.13</t>
  </si>
  <si>
    <t>13.1.1.14</t>
  </si>
  <si>
    <t>13.1.1.15</t>
  </si>
  <si>
    <t>13.1.1.16</t>
  </si>
  <si>
    <t>13.1.1.17</t>
  </si>
  <si>
    <t>13.1.1.18</t>
  </si>
  <si>
    <t>13.1.1.19</t>
  </si>
  <si>
    <t>13.1.1.20</t>
  </si>
  <si>
    <t>13.1.1.21</t>
  </si>
  <si>
    <t>13.1.1.22</t>
  </si>
  <si>
    <t>13.1.1.23</t>
  </si>
  <si>
    <t>13.1.1.24</t>
  </si>
  <si>
    <t>13.1.1.25</t>
  </si>
  <si>
    <t>13.1.1.26</t>
  </si>
  <si>
    <t>13.1.1.27</t>
  </si>
  <si>
    <t>13.1.1.28</t>
  </si>
  <si>
    <t>13.1.1.29</t>
  </si>
  <si>
    <t>13.1.1.30</t>
  </si>
  <si>
    <t>13.1.1.31</t>
  </si>
  <si>
    <t>13.1.1.32</t>
  </si>
  <si>
    <t>13.1.1.33</t>
  </si>
  <si>
    <t>13.1.1.34</t>
  </si>
  <si>
    <t>13.1.1.35</t>
  </si>
  <si>
    <t>13.1.1.36</t>
  </si>
  <si>
    <t>13.1.1.37</t>
  </si>
  <si>
    <t>13.1.1.38</t>
  </si>
  <si>
    <t>13.1.1.39</t>
  </si>
  <si>
    <t>13.3.1.7</t>
  </si>
  <si>
    <t>13.3.1.9</t>
  </si>
  <si>
    <t>13.3.1.10</t>
  </si>
  <si>
    <t>13.3.1.11</t>
  </si>
  <si>
    <t>13.3.1.13</t>
  </si>
  <si>
    <t>13.3.1.14</t>
  </si>
  <si>
    <t>13.3.1.15</t>
  </si>
  <si>
    <t>13.4.1.1</t>
  </si>
  <si>
    <t>13.4.1.2</t>
  </si>
  <si>
    <t>13.4.1.3</t>
  </si>
  <si>
    <t>13.4.1.4</t>
  </si>
  <si>
    <t>13.4.1.5</t>
  </si>
  <si>
    <t>15.1.1</t>
  </si>
  <si>
    <t>15.1.1.1</t>
  </si>
  <si>
    <t>15.1.1.2</t>
  </si>
  <si>
    <t>15.1.1.3</t>
  </si>
  <si>
    <t>15.1.1.4</t>
  </si>
  <si>
    <t>15.1.1.5</t>
  </si>
  <si>
    <t>15.1.1.6</t>
  </si>
  <si>
    <t>15.1.1.7</t>
  </si>
  <si>
    <t>15.1.1.8</t>
  </si>
  <si>
    <t>15.1.1.9</t>
  </si>
  <si>
    <t>15.1.1.10</t>
  </si>
  <si>
    <t>15.1.1.11</t>
  </si>
  <si>
    <t>15.1.1.12</t>
  </si>
  <si>
    <t>15.1.1.13</t>
  </si>
  <si>
    <t>15.1.1.14</t>
  </si>
  <si>
    <t>16.4.1</t>
  </si>
  <si>
    <t>16.3.1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</si>
</sst>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;[Red]\-&quot;R$&quot;#,##0"/>
    <numFmt numFmtId="165" formatCode="_(* #,##0.00_);_(* \(#,##0.00\);_(* &quot;-&quot;??_);_(@_)"/>
    <numFmt numFmtId="166" formatCode="_(* #,##0.00_);_(* \(#,##0.00\);_(* \-??_);_(@_)"/>
    <numFmt numFmtId="167" formatCode="* #,##0.00\ ;\-* #,##0.00\ ;* \-#\ ;@\ "/>
    <numFmt numFmtId="168" formatCode="_-* #,##0.000_-;\-* #,##0.000_-;_-* &quot;-&quot;??_-;_-@_-"/>
    <numFmt numFmtId="169" formatCode="_-* #,##0_-;\-* #,##0_-;_-* &quot;-&quot;??_-;_-@_-"/>
  </numFmts>
  <fonts count="43" x14ac:knownFonts="1">
    <font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Verdana"/>
      <family val="2"/>
    </font>
    <font>
      <b/>
      <sz val="18"/>
      <name val="Tahoma"/>
      <family val="2"/>
    </font>
    <font>
      <sz val="10"/>
      <name val="Arial"/>
      <family val="2"/>
    </font>
    <font>
      <b/>
      <sz val="11"/>
      <name val="Tahoma"/>
      <family val="2"/>
    </font>
    <font>
      <sz val="8"/>
      <name val="Verdana"/>
      <family val="2"/>
    </font>
    <font>
      <sz val="11"/>
      <color rgb="FFFF0000"/>
      <name val="Calibri"/>
      <family val="2"/>
      <scheme val="minor"/>
    </font>
    <font>
      <sz val="11"/>
      <name val="Tahoma"/>
      <family val="2"/>
    </font>
    <font>
      <sz val="12"/>
      <color rgb="FFFF0000"/>
      <name val="Verdana"/>
      <family val="2"/>
    </font>
    <font>
      <sz val="11"/>
      <color rgb="FFFF0000"/>
      <name val="Tahoma"/>
      <family val="2"/>
    </font>
    <font>
      <sz val="12"/>
      <color rgb="FFFF0000"/>
      <name val="Tahoma"/>
      <family val="2"/>
    </font>
    <font>
      <b/>
      <sz val="12"/>
      <color rgb="FFFF0000"/>
      <name val="Verdana"/>
      <family val="2"/>
    </font>
    <font>
      <b/>
      <sz val="10"/>
      <name val="Tahoma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sz val="12"/>
      <color rgb="FF0000FF"/>
      <name val="Verdana"/>
      <family val="2"/>
    </font>
    <font>
      <sz val="11"/>
      <color rgb="FF0000FF"/>
      <name val="Calibri"/>
      <family val="2"/>
      <scheme val="minor"/>
    </font>
    <font>
      <sz val="11"/>
      <color rgb="FF0000FF"/>
      <name val="Tahoma"/>
      <family val="2"/>
    </font>
    <font>
      <b/>
      <sz val="12"/>
      <color rgb="FF0000FF"/>
      <name val="Verdana"/>
      <family val="2"/>
    </font>
    <font>
      <sz val="12"/>
      <color rgb="FF00B050"/>
      <name val="Verdana"/>
      <family val="2"/>
    </font>
    <font>
      <b/>
      <sz val="12"/>
      <color rgb="FFFF0000"/>
      <name val="Tahoma"/>
      <family val="2"/>
    </font>
    <font>
      <sz val="12"/>
      <color rgb="FF0000FF"/>
      <name val="Tahoma"/>
      <family val="2"/>
    </font>
    <font>
      <sz val="11"/>
      <color rgb="FFFF0000"/>
      <name val="Calibri"/>
      <family val="2"/>
    </font>
    <font>
      <b/>
      <sz val="11"/>
      <color rgb="FFFF0000"/>
      <name val="Tahoma"/>
      <family val="2"/>
    </font>
    <font>
      <sz val="10"/>
      <color rgb="FFFF0000"/>
      <name val="Verdana"/>
      <family val="2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FF"/>
      <name val="Verdana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charset val="1"/>
    </font>
    <font>
      <sz val="10"/>
      <name val="Verdana"/>
      <family val="2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rgb="FFCCCC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19">
    <xf numFmtId="0" fontId="0" fillId="0" borderId="0"/>
    <xf numFmtId="43" fontId="8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20" fillId="0" borderId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164" fontId="10" fillId="0" borderId="0" applyFont="0" applyFill="0" applyBorder="0" applyAlignment="0" applyProtection="0"/>
    <xf numFmtId="0" fontId="21" fillId="0" borderId="0"/>
    <xf numFmtId="0" fontId="21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43" fontId="10" fillId="0" borderId="0" applyFont="0" applyFill="0" applyBorder="0" applyAlignment="0" applyProtection="0"/>
    <xf numFmtId="166" fontId="10" fillId="0" borderId="0" applyFill="0" applyAlignment="0" applyProtection="0"/>
    <xf numFmtId="0" fontId="1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164" fontId="10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</cellStyleXfs>
  <cellXfs count="226">
    <xf numFmtId="0" fontId="0" fillId="0" borderId="0" xfId="0" applyAlignment="1">
      <alignment horizontal="left" vertical="center"/>
    </xf>
    <xf numFmtId="0" fontId="16" fillId="6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left" vertical="center"/>
    </xf>
    <xf numFmtId="165" fontId="15" fillId="6" borderId="0" xfId="0" applyNumberFormat="1" applyFont="1" applyFill="1" applyAlignment="1">
      <alignment horizontal="left" vertical="center"/>
    </xf>
    <xf numFmtId="0" fontId="17" fillId="6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165" fontId="19" fillId="2" borderId="4" xfId="2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5" fillId="6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5" fillId="9" borderId="0" xfId="0" applyFont="1" applyFill="1" applyAlignment="1">
      <alignment horizontal="left" vertical="center"/>
    </xf>
    <xf numFmtId="0" fontId="28" fillId="5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 vertical="center"/>
    </xf>
    <xf numFmtId="43" fontId="25" fillId="0" borderId="0" xfId="0" applyNumberFormat="1" applyFont="1" applyAlignment="1">
      <alignment horizontal="left" vertical="center"/>
    </xf>
    <xf numFmtId="0" fontId="23" fillId="6" borderId="0" xfId="0" applyFont="1" applyFill="1" applyAlignment="1">
      <alignment horizontal="left" vertical="center"/>
    </xf>
    <xf numFmtId="0" fontId="14" fillId="7" borderId="0" xfId="0" applyFont="1" applyFill="1" applyAlignment="1">
      <alignment horizontal="left" vertical="center"/>
    </xf>
    <xf numFmtId="0" fontId="23" fillId="7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left" vertical="center"/>
    </xf>
    <xf numFmtId="0" fontId="24" fillId="7" borderId="0" xfId="0" applyFont="1" applyFill="1" applyAlignment="1">
      <alignment horizontal="center" vertical="center"/>
    </xf>
    <xf numFmtId="43" fontId="24" fillId="7" borderId="0" xfId="0" applyNumberFormat="1" applyFont="1" applyFill="1" applyAlignment="1">
      <alignment horizontal="left" vertical="center"/>
    </xf>
    <xf numFmtId="165" fontId="33" fillId="5" borderId="3" xfId="2" applyNumberFormat="1" applyFont="1" applyFill="1" applyBorder="1" applyAlignment="1">
      <alignment horizontal="center" vertical="center" wrapText="1"/>
    </xf>
    <xf numFmtId="43" fontId="13" fillId="0" borderId="3" xfId="1" applyFont="1" applyBorder="1" applyAlignment="1">
      <alignment vertical="center"/>
    </xf>
    <xf numFmtId="43" fontId="13" fillId="0" borderId="3" xfId="1" applyFont="1" applyBorder="1" applyAlignment="1">
      <alignment horizontal="center" vertical="center"/>
    </xf>
    <xf numFmtId="43" fontId="13" fillId="6" borderId="3" xfId="1" applyFont="1" applyFill="1" applyBorder="1" applyAlignment="1">
      <alignment vertical="center"/>
    </xf>
    <xf numFmtId="43" fontId="13" fillId="6" borderId="3" xfId="1" applyFont="1" applyFill="1" applyBorder="1" applyAlignment="1">
      <alignment horizontal="center" vertical="center"/>
    </xf>
    <xf numFmtId="43" fontId="34" fillId="6" borderId="3" xfId="1" applyFont="1" applyFill="1" applyBorder="1" applyAlignment="1" applyProtection="1">
      <alignment vertical="center"/>
    </xf>
    <xf numFmtId="43" fontId="13" fillId="0" borderId="3" xfId="1" applyFont="1" applyFill="1" applyBorder="1" applyAlignment="1">
      <alignment vertical="center"/>
    </xf>
    <xf numFmtId="43" fontId="13" fillId="0" borderId="3" xfId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left" vertical="center"/>
    </xf>
    <xf numFmtId="43" fontId="13" fillId="6" borderId="3" xfId="1" applyFont="1" applyFill="1" applyBorder="1" applyAlignment="1">
      <alignment horizontal="right" vertical="center"/>
    </xf>
    <xf numFmtId="0" fontId="33" fillId="0" borderId="3" xfId="2" applyFont="1" applyBorder="1" applyAlignment="1">
      <alignment horizontal="center" vertical="center" wrapText="1"/>
    </xf>
    <xf numFmtId="165" fontId="33" fillId="0" borderId="3" xfId="2" applyNumberFormat="1" applyFont="1" applyBorder="1" applyAlignment="1">
      <alignment horizontal="center" vertical="center" wrapText="1"/>
    </xf>
    <xf numFmtId="49" fontId="26" fillId="9" borderId="3" xfId="0" applyNumberFormat="1" applyFont="1" applyFill="1" applyBorder="1" applyAlignment="1">
      <alignment horizontal="center" vertical="center"/>
    </xf>
    <xf numFmtId="49" fontId="13" fillId="9" borderId="3" xfId="0" applyNumberFormat="1" applyFont="1" applyFill="1" applyBorder="1" applyAlignment="1">
      <alignment horizontal="center" vertical="center"/>
    </xf>
    <xf numFmtId="43" fontId="32" fillId="6" borderId="0" xfId="1" applyFont="1" applyFill="1" applyBorder="1" applyAlignment="1" applyProtection="1">
      <alignment vertical="center"/>
    </xf>
    <xf numFmtId="0" fontId="15" fillId="0" borderId="0" xfId="0" applyFont="1" applyAlignment="1">
      <alignment horizontal="left" vertical="center" wrapText="1"/>
    </xf>
    <xf numFmtId="0" fontId="15" fillId="9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left" vertical="center" wrapText="1"/>
    </xf>
    <xf numFmtId="43" fontId="13" fillId="9" borderId="0" xfId="1" applyFont="1" applyFill="1" applyBorder="1" applyAlignment="1">
      <alignment horizontal="left" vertical="center"/>
    </xf>
    <xf numFmtId="0" fontId="15" fillId="7" borderId="0" xfId="0" applyFont="1" applyFill="1" applyAlignment="1">
      <alignment horizontal="left" vertical="center"/>
    </xf>
    <xf numFmtId="43" fontId="36" fillId="5" borderId="3" xfId="1" applyFont="1" applyFill="1" applyBorder="1" applyAlignment="1">
      <alignment horizontal="center" vertical="center"/>
    </xf>
    <xf numFmtId="43" fontId="37" fillId="6" borderId="3" xfId="1" applyFont="1" applyFill="1" applyBorder="1" applyAlignment="1" applyProtection="1">
      <alignment vertical="center"/>
    </xf>
    <xf numFmtId="43" fontId="35" fillId="0" borderId="3" xfId="1" applyFont="1" applyBorder="1" applyAlignment="1">
      <alignment vertical="center"/>
    </xf>
    <xf numFmtId="43" fontId="35" fillId="0" borderId="3" xfId="1" applyFont="1" applyBorder="1" applyAlignment="1">
      <alignment horizontal="center" vertical="center"/>
    </xf>
    <xf numFmtId="43" fontId="35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11" fillId="3" borderId="5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left" vertical="center" wrapText="1"/>
    </xf>
    <xf numFmtId="43" fontId="11" fillId="3" borderId="5" xfId="2" applyNumberFormat="1" applyFont="1" applyFill="1" applyBorder="1" applyAlignment="1">
      <alignment horizontal="center" vertical="center" wrapText="1"/>
    </xf>
    <xf numFmtId="165" fontId="11" fillId="3" borderId="8" xfId="2" applyNumberFormat="1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left" vertical="center" wrapText="1"/>
    </xf>
    <xf numFmtId="43" fontId="11" fillId="5" borderId="3" xfId="2" applyNumberFormat="1" applyFont="1" applyFill="1" applyBorder="1" applyAlignment="1">
      <alignment horizontal="center" vertical="center" wrapText="1"/>
    </xf>
    <xf numFmtId="165" fontId="11" fillId="5" borderId="3" xfId="2" applyNumberFormat="1" applyFont="1" applyFill="1" applyBorder="1" applyAlignment="1">
      <alignment horizontal="center" vertical="center" wrapText="1"/>
    </xf>
    <xf numFmtId="0" fontId="38" fillId="8" borderId="3" xfId="0" applyFont="1" applyFill="1" applyBorder="1" applyAlignment="1">
      <alignment horizontal="center" vertical="center"/>
    </xf>
    <xf numFmtId="0" fontId="38" fillId="8" borderId="3" xfId="0" applyFont="1" applyFill="1" applyBorder="1" applyAlignment="1">
      <alignment vertical="center" wrapText="1"/>
    </xf>
    <xf numFmtId="43" fontId="38" fillId="8" borderId="3" xfId="1" applyFont="1" applyFill="1" applyBorder="1" applyAlignment="1" applyProtection="1">
      <alignment horizontal="center" vertical="center"/>
    </xf>
    <xf numFmtId="43" fontId="38" fillId="6" borderId="3" xfId="1" applyFont="1" applyFill="1" applyBorder="1" applyAlignment="1" applyProtection="1">
      <alignment vertical="center"/>
    </xf>
    <xf numFmtId="43" fontId="38" fillId="6" borderId="3" xfId="1" applyFont="1" applyFill="1" applyBorder="1" applyAlignment="1" applyProtection="1">
      <alignment horizontal="center" vertical="center"/>
    </xf>
    <xf numFmtId="167" fontId="38" fillId="6" borderId="3" xfId="0" applyNumberFormat="1" applyFont="1" applyFill="1" applyBorder="1" applyAlignment="1">
      <alignment vertical="center"/>
    </xf>
    <xf numFmtId="49" fontId="38" fillId="9" borderId="3" xfId="0" applyNumberFormat="1" applyFont="1" applyFill="1" applyBorder="1" applyAlignment="1">
      <alignment horizontal="center" vertical="center"/>
    </xf>
    <xf numFmtId="0" fontId="39" fillId="9" borderId="3" xfId="0" applyFont="1" applyFill="1" applyBorder="1" applyAlignment="1">
      <alignment horizontal="center" vertical="center"/>
    </xf>
    <xf numFmtId="0" fontId="39" fillId="9" borderId="3" xfId="0" applyFont="1" applyFill="1" applyBorder="1" applyAlignment="1">
      <alignment horizontal="left" vertical="center" wrapText="1"/>
    </xf>
    <xf numFmtId="43" fontId="39" fillId="9" borderId="3" xfId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 vertical="center"/>
    </xf>
    <xf numFmtId="49" fontId="38" fillId="9" borderId="2" xfId="0" applyNumberFormat="1" applyFont="1" applyFill="1" applyBorder="1" applyAlignment="1">
      <alignment horizontal="center" vertical="center"/>
    </xf>
    <xf numFmtId="49" fontId="39" fillId="9" borderId="3" xfId="0" applyNumberFormat="1" applyFont="1" applyFill="1" applyBorder="1" applyAlignment="1">
      <alignment horizontal="center" vertical="center"/>
    </xf>
    <xf numFmtId="43" fontId="40" fillId="6" borderId="3" xfId="1" applyFont="1" applyFill="1" applyBorder="1" applyAlignment="1" applyProtection="1">
      <alignment vertical="center"/>
    </xf>
    <xf numFmtId="43" fontId="40" fillId="6" borderId="3" xfId="1" applyFont="1" applyFill="1" applyBorder="1" applyAlignment="1" applyProtection="1">
      <alignment horizontal="center" vertical="center"/>
    </xf>
    <xf numFmtId="49" fontId="40" fillId="9" borderId="3" xfId="0" applyNumberFormat="1" applyFont="1" applyFill="1" applyBorder="1" applyAlignment="1">
      <alignment horizontal="center" vertical="center"/>
    </xf>
    <xf numFmtId="168" fontId="40" fillId="6" borderId="3" xfId="1" applyNumberFormat="1" applyFont="1" applyFill="1" applyBorder="1" applyAlignment="1" applyProtection="1">
      <alignment vertical="center"/>
    </xf>
    <xf numFmtId="0" fontId="14" fillId="5" borderId="3" xfId="2" applyFont="1" applyFill="1" applyBorder="1" applyAlignment="1">
      <alignment horizontal="center" vertical="center" wrapText="1"/>
    </xf>
    <xf numFmtId="168" fontId="11" fillId="5" borderId="3" xfId="2" applyNumberFormat="1" applyFont="1" applyFill="1" applyBorder="1" applyAlignment="1">
      <alignment horizontal="center" vertical="center" wrapText="1"/>
    </xf>
    <xf numFmtId="43" fontId="39" fillId="6" borderId="3" xfId="1" applyFont="1" applyFill="1" applyBorder="1" applyAlignment="1">
      <alignment horizontal="center" vertical="center"/>
    </xf>
    <xf numFmtId="43" fontId="39" fillId="6" borderId="3" xfId="1" applyFont="1" applyFill="1" applyBorder="1" applyAlignment="1">
      <alignment vertical="center"/>
    </xf>
    <xf numFmtId="168" fontId="39" fillId="6" borderId="3" xfId="1" applyNumberFormat="1" applyFont="1" applyFill="1" applyBorder="1" applyAlignment="1">
      <alignment vertical="center"/>
    </xf>
    <xf numFmtId="168" fontId="39" fillId="6" borderId="3" xfId="1" applyNumberFormat="1" applyFont="1" applyFill="1" applyBorder="1" applyAlignment="1">
      <alignment horizontal="center" vertical="center"/>
    </xf>
    <xf numFmtId="168" fontId="38" fillId="6" borderId="3" xfId="1" applyNumberFormat="1" applyFont="1" applyFill="1" applyBorder="1" applyAlignment="1" applyProtection="1">
      <alignment vertical="center"/>
    </xf>
    <xf numFmtId="0" fontId="11" fillId="3" borderId="3" xfId="2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left" vertical="center" wrapText="1"/>
    </xf>
    <xf numFmtId="43" fontId="11" fillId="3" borderId="3" xfId="2" applyNumberFormat="1" applyFont="1" applyFill="1" applyBorder="1" applyAlignment="1">
      <alignment horizontal="center" vertical="center" wrapText="1"/>
    </xf>
    <xf numFmtId="165" fontId="11" fillId="3" borderId="3" xfId="2" applyNumberFormat="1" applyFont="1" applyFill="1" applyBorder="1" applyAlignment="1">
      <alignment horizontal="center" vertical="center" wrapText="1"/>
    </xf>
    <xf numFmtId="43" fontId="39" fillId="6" borderId="3" xfId="0" applyNumberFormat="1" applyFont="1" applyFill="1" applyBorder="1" applyAlignment="1">
      <alignment vertical="center"/>
    </xf>
    <xf numFmtId="43" fontId="39" fillId="0" borderId="3" xfId="1" applyFont="1" applyBorder="1" applyAlignment="1">
      <alignment vertical="center"/>
    </xf>
    <xf numFmtId="43" fontId="39" fillId="0" borderId="3" xfId="1" applyFont="1" applyBorder="1" applyAlignment="1">
      <alignment horizontal="center" vertical="center"/>
    </xf>
    <xf numFmtId="43" fontId="41" fillId="6" borderId="3" xfId="1" applyFont="1" applyFill="1" applyBorder="1" applyAlignment="1" applyProtection="1">
      <alignment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left" vertical="center" wrapText="1"/>
    </xf>
    <xf numFmtId="43" fontId="14" fillId="5" borderId="3" xfId="1" applyFont="1" applyFill="1" applyBorder="1" applyAlignment="1">
      <alignment horizontal="center" vertical="center"/>
    </xf>
    <xf numFmtId="43" fontId="36" fillId="5" borderId="3" xfId="1" applyFont="1" applyFill="1" applyBorder="1" applyAlignment="1">
      <alignment vertical="center"/>
    </xf>
    <xf numFmtId="43" fontId="36" fillId="5" borderId="3" xfId="0" applyNumberFormat="1" applyFont="1" applyFill="1" applyBorder="1" applyAlignment="1">
      <alignment vertical="center"/>
    </xf>
    <xf numFmtId="43" fontId="14" fillId="5" borderId="3" xfId="1" applyFont="1" applyFill="1" applyBorder="1" applyAlignment="1">
      <alignment horizontal="right" vertical="center"/>
    </xf>
    <xf numFmtId="43" fontId="39" fillId="9" borderId="3" xfId="1" applyFont="1" applyFill="1" applyBorder="1" applyAlignment="1">
      <alignment horizontal="right" vertical="center"/>
    </xf>
    <xf numFmtId="43" fontId="39" fillId="6" borderId="3" xfId="1" applyFont="1" applyFill="1" applyBorder="1" applyAlignment="1">
      <alignment vertical="center" textRotation="90"/>
    </xf>
    <xf numFmtId="43" fontId="14" fillId="5" borderId="3" xfId="2" applyNumberFormat="1" applyFont="1" applyFill="1" applyBorder="1" applyAlignment="1">
      <alignment horizontal="center" vertical="center" wrapText="1"/>
    </xf>
    <xf numFmtId="49" fontId="39" fillId="9" borderId="3" xfId="0" applyNumberFormat="1" applyFont="1" applyFill="1" applyBorder="1" applyAlignment="1">
      <alignment horizontal="center" vertical="center" wrapText="1"/>
    </xf>
    <xf numFmtId="43" fontId="11" fillId="5" borderId="3" xfId="1" applyFont="1" applyFill="1" applyBorder="1" applyAlignment="1">
      <alignment horizontal="center" vertical="center"/>
    </xf>
    <xf numFmtId="43" fontId="11" fillId="5" borderId="3" xfId="1" applyFont="1" applyFill="1" applyBorder="1" applyAlignment="1">
      <alignment vertical="center"/>
    </xf>
    <xf numFmtId="43" fontId="11" fillId="5" borderId="3" xfId="0" applyNumberFormat="1" applyFont="1" applyFill="1" applyBorder="1" applyAlignment="1">
      <alignment vertical="center"/>
    </xf>
    <xf numFmtId="169" fontId="39" fillId="9" borderId="3" xfId="1" applyNumberFormat="1" applyFont="1" applyFill="1" applyBorder="1" applyAlignment="1">
      <alignment horizontal="center" vertical="center"/>
    </xf>
    <xf numFmtId="0" fontId="39" fillId="9" borderId="3" xfId="0" applyFont="1" applyFill="1" applyBorder="1" applyAlignment="1">
      <alignment vertical="center" wrapText="1"/>
    </xf>
    <xf numFmtId="43" fontId="39" fillId="9" borderId="3" xfId="49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3" xfId="0" applyFont="1" applyBorder="1" applyAlignment="1">
      <alignment vertical="center" wrapText="1"/>
    </xf>
    <xf numFmtId="43" fontId="39" fillId="0" borderId="3" xfId="0" applyNumberFormat="1" applyFont="1" applyBorder="1" applyAlignment="1">
      <alignment vertical="center" wrapText="1"/>
    </xf>
    <xf numFmtId="43" fontId="39" fillId="5" borderId="3" xfId="1" applyFont="1" applyFill="1" applyBorder="1" applyAlignment="1">
      <alignment horizontal="center" vertical="center"/>
    </xf>
    <xf numFmtId="0" fontId="36" fillId="9" borderId="3" xfId="0" applyFont="1" applyFill="1" applyBorder="1" applyAlignment="1">
      <alignment horizontal="center" vertical="center"/>
    </xf>
    <xf numFmtId="43" fontId="39" fillId="0" borderId="3" xfId="0" applyNumberFormat="1" applyFont="1" applyBorder="1" applyAlignment="1">
      <alignment vertical="center"/>
    </xf>
    <xf numFmtId="43" fontId="39" fillId="9" borderId="3" xfId="0" applyNumberFormat="1" applyFont="1" applyFill="1" applyBorder="1" applyAlignment="1">
      <alignment vertical="center"/>
    </xf>
    <xf numFmtId="43" fontId="39" fillId="9" borderId="3" xfId="5" applyFont="1" applyFill="1" applyBorder="1" applyAlignment="1">
      <alignment horizontal="center" vertical="center"/>
    </xf>
    <xf numFmtId="43" fontId="27" fillId="0" borderId="0" xfId="0" applyNumberFormat="1" applyFont="1" applyAlignment="1">
      <alignment vertical="center"/>
    </xf>
    <xf numFmtId="49" fontId="39" fillId="9" borderId="3" xfId="0" applyNumberFormat="1" applyFont="1" applyFill="1" applyBorder="1" applyAlignment="1">
      <alignment horizontal="left" vertical="center"/>
    </xf>
    <xf numFmtId="43" fontId="39" fillId="6" borderId="3" xfId="1" applyFont="1" applyFill="1" applyBorder="1" applyAlignment="1">
      <alignment horizontal="right" vertical="center"/>
    </xf>
    <xf numFmtId="49" fontId="39" fillId="9" borderId="3" xfId="1" applyNumberFormat="1" applyFont="1" applyFill="1" applyBorder="1" applyAlignment="1">
      <alignment horizontal="center" vertical="center"/>
    </xf>
    <xf numFmtId="0" fontId="14" fillId="3" borderId="3" xfId="2" applyFont="1" applyFill="1" applyBorder="1" applyAlignment="1">
      <alignment horizontal="center" vertical="center" wrapText="1"/>
    </xf>
    <xf numFmtId="43" fontId="11" fillId="5" borderId="3" xfId="5" applyFont="1" applyFill="1" applyBorder="1" applyAlignment="1">
      <alignment horizontal="center" vertical="center"/>
    </xf>
    <xf numFmtId="0" fontId="42" fillId="9" borderId="3" xfId="0" applyFont="1" applyFill="1" applyBorder="1" applyAlignment="1">
      <alignment horizontal="right" vertical="center"/>
    </xf>
    <xf numFmtId="43" fontId="26" fillId="9" borderId="3" xfId="0" applyNumberFormat="1" applyFont="1" applyFill="1" applyBorder="1" applyAlignment="1">
      <alignment vertical="center"/>
    </xf>
    <xf numFmtId="43" fontId="39" fillId="0" borderId="3" xfId="1" applyFont="1" applyBorder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43" fontId="39" fillId="0" borderId="3" xfId="1" applyFont="1" applyFill="1" applyBorder="1" applyAlignment="1">
      <alignment vertical="center"/>
    </xf>
    <xf numFmtId="43" fontId="39" fillId="0" borderId="3" xfId="1" applyFont="1" applyFill="1" applyBorder="1" applyAlignment="1">
      <alignment horizontal="center" vertical="center"/>
    </xf>
    <xf numFmtId="43" fontId="36" fillId="0" borderId="3" xfId="1" applyFont="1" applyFill="1" applyBorder="1" applyAlignment="1">
      <alignment vertical="center"/>
    </xf>
    <xf numFmtId="43" fontId="39" fillId="9" borderId="3" xfId="40" applyFont="1" applyFill="1" applyBorder="1" applyAlignment="1">
      <alignment horizontal="center" vertical="center"/>
    </xf>
    <xf numFmtId="43" fontId="41" fillId="6" borderId="3" xfId="40" applyFont="1" applyFill="1" applyBorder="1" applyAlignment="1" applyProtection="1">
      <alignment vertical="center"/>
    </xf>
    <xf numFmtId="43" fontId="39" fillId="0" borderId="3" xfId="40" applyFont="1" applyBorder="1" applyAlignment="1">
      <alignment vertical="center"/>
    </xf>
    <xf numFmtId="43" fontId="39" fillId="0" borderId="3" xfId="40" applyFont="1" applyBorder="1" applyAlignment="1">
      <alignment horizontal="center" vertical="center"/>
    </xf>
    <xf numFmtId="43" fontId="39" fillId="0" borderId="3" xfId="0" applyNumberFormat="1" applyFont="1" applyBorder="1" applyAlignment="1">
      <alignment horizontal="center" vertical="center"/>
    </xf>
    <xf numFmtId="43" fontId="39" fillId="3" borderId="3" xfId="49" applyFont="1" applyFill="1" applyBorder="1" applyAlignment="1">
      <alignment horizontal="center" vertical="center"/>
    </xf>
    <xf numFmtId="43" fontId="39" fillId="5" borderId="3" xfId="49" applyFont="1" applyFill="1" applyBorder="1" applyAlignment="1">
      <alignment horizontal="center" vertical="center"/>
    </xf>
    <xf numFmtId="43" fontId="14" fillId="3" borderId="3" xfId="2" applyNumberFormat="1" applyFont="1" applyFill="1" applyBorder="1" applyAlignment="1">
      <alignment horizontal="center" vertical="center" wrapText="1"/>
    </xf>
    <xf numFmtId="2" fontId="11" fillId="5" borderId="3" xfId="5" applyNumberFormat="1" applyFont="1" applyFill="1" applyBorder="1" applyAlignment="1">
      <alignment horizontal="center" vertical="center"/>
    </xf>
    <xf numFmtId="0" fontId="36" fillId="9" borderId="3" xfId="0" applyFont="1" applyFill="1" applyBorder="1" applyAlignment="1">
      <alignment horizontal="left" vertical="center" wrapText="1"/>
    </xf>
    <xf numFmtId="0" fontId="39" fillId="9" borderId="3" xfId="2" applyFont="1" applyFill="1" applyBorder="1" applyAlignment="1">
      <alignment horizontal="center" vertical="center" wrapText="1"/>
    </xf>
    <xf numFmtId="43" fontId="39" fillId="9" borderId="3" xfId="2" applyNumberFormat="1" applyFont="1" applyFill="1" applyBorder="1" applyAlignment="1">
      <alignment horizontal="left" vertical="top" wrapText="1"/>
    </xf>
    <xf numFmtId="43" fontId="39" fillId="9" borderId="3" xfId="2" applyNumberFormat="1" applyFont="1" applyFill="1" applyBorder="1" applyAlignment="1">
      <alignment horizontal="center" vertical="center" wrapText="1"/>
    </xf>
    <xf numFmtId="2" fontId="39" fillId="9" borderId="3" xfId="2" applyNumberFormat="1" applyFont="1" applyFill="1" applyBorder="1" applyAlignment="1">
      <alignment horizontal="right" vertical="center" wrapText="1"/>
    </xf>
    <xf numFmtId="43" fontId="14" fillId="5" borderId="3" xfId="5" applyFont="1" applyFill="1" applyBorder="1" applyAlignment="1">
      <alignment horizontal="center" vertical="center"/>
    </xf>
    <xf numFmtId="43" fontId="14" fillId="5" borderId="3" xfId="1" applyFont="1" applyFill="1" applyBorder="1" applyAlignment="1">
      <alignment vertical="center"/>
    </xf>
    <xf numFmtId="43" fontId="14" fillId="5" borderId="3" xfId="0" applyNumberFormat="1" applyFont="1" applyFill="1" applyBorder="1" applyAlignment="1">
      <alignment vertical="center"/>
    </xf>
    <xf numFmtId="43" fontId="39" fillId="9" borderId="3" xfId="2" applyNumberFormat="1" applyFont="1" applyFill="1" applyBorder="1" applyAlignment="1">
      <alignment horizontal="left" vertical="center" wrapText="1"/>
    </xf>
    <xf numFmtId="43" fontId="36" fillId="9" borderId="3" xfId="2" applyNumberFormat="1" applyFont="1" applyFill="1" applyBorder="1" applyAlignment="1">
      <alignment horizontal="left" vertical="center" wrapText="1"/>
    </xf>
    <xf numFmtId="2" fontId="14" fillId="5" borderId="3" xfId="2" applyNumberFormat="1" applyFont="1" applyFill="1" applyBorder="1" applyAlignment="1">
      <alignment horizontal="right" vertical="center" wrapText="1"/>
    </xf>
    <xf numFmtId="43" fontId="36" fillId="9" borderId="3" xfId="1" applyFont="1" applyFill="1" applyBorder="1" applyAlignment="1">
      <alignment horizontal="center" vertical="center"/>
    </xf>
    <xf numFmtId="43" fontId="36" fillId="0" borderId="3" xfId="1" applyFont="1" applyFill="1" applyBorder="1" applyAlignment="1">
      <alignment horizontal="center" vertical="center"/>
    </xf>
    <xf numFmtId="43" fontId="36" fillId="0" borderId="3" xfId="0" applyNumberFormat="1" applyFont="1" applyBorder="1" applyAlignment="1">
      <alignment vertical="center"/>
    </xf>
    <xf numFmtId="0" fontId="39" fillId="9" borderId="3" xfId="0" applyFont="1" applyFill="1" applyBorder="1" applyAlignment="1">
      <alignment horizontal="left"/>
    </xf>
    <xf numFmtId="43" fontId="14" fillId="6" borderId="3" xfId="1" applyFont="1" applyFill="1" applyBorder="1" applyAlignment="1">
      <alignment horizontal="center" vertical="center"/>
    </xf>
    <xf numFmtId="43" fontId="15" fillId="6" borderId="0" xfId="0" applyNumberFormat="1" applyFont="1" applyFill="1" applyAlignment="1">
      <alignment horizontal="left" vertical="center"/>
    </xf>
    <xf numFmtId="49" fontId="11" fillId="5" borderId="3" xfId="2" applyNumberFormat="1" applyFont="1" applyFill="1" applyBorder="1" applyAlignment="1">
      <alignment horizontal="center" vertical="center" wrapText="1"/>
    </xf>
    <xf numFmtId="168" fontId="39" fillId="0" borderId="3" xfId="1" applyNumberFormat="1" applyFont="1" applyFill="1" applyBorder="1" applyAlignment="1">
      <alignment vertical="center"/>
    </xf>
    <xf numFmtId="43" fontId="41" fillId="0" borderId="3" xfId="1" applyFont="1" applyFill="1" applyBorder="1" applyAlignment="1" applyProtection="1">
      <alignment vertical="center"/>
    </xf>
    <xf numFmtId="0" fontId="24" fillId="7" borderId="3" xfId="0" applyFont="1" applyFill="1" applyBorder="1" applyAlignment="1">
      <alignment horizontal="center" vertical="center"/>
    </xf>
    <xf numFmtId="43" fontId="24" fillId="7" borderId="3" xfId="0" applyNumberFormat="1" applyFont="1" applyFill="1" applyBorder="1" applyAlignment="1">
      <alignment horizontal="left" vertical="center"/>
    </xf>
    <xf numFmtId="0" fontId="36" fillId="9" borderId="3" xfId="0" applyFont="1" applyFill="1" applyBorder="1" applyAlignment="1">
      <alignment horizontal="left" vertical="center" wrapText="1"/>
    </xf>
    <xf numFmtId="0" fontId="36" fillId="9" borderId="3" xfId="0" quotePrefix="1" applyFont="1" applyFill="1" applyBorder="1" applyAlignment="1">
      <alignment horizontal="left" vertical="center" wrapText="1"/>
    </xf>
    <xf numFmtId="43" fontId="36" fillId="0" borderId="2" xfId="1" applyFont="1" applyFill="1" applyBorder="1" applyAlignment="1">
      <alignment horizontal="center" vertical="center"/>
    </xf>
    <xf numFmtId="43" fontId="36" fillId="0" borderId="1" xfId="1" applyFont="1" applyFill="1" applyBorder="1" applyAlignment="1">
      <alignment horizontal="center" vertical="center"/>
    </xf>
    <xf numFmtId="43" fontId="36" fillId="0" borderId="16" xfId="1" applyFont="1" applyFill="1" applyBorder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165" fontId="11" fillId="6" borderId="14" xfId="2" applyNumberFormat="1" applyFont="1" applyFill="1" applyBorder="1" applyAlignment="1">
      <alignment horizontal="center" vertical="center"/>
    </xf>
    <xf numFmtId="165" fontId="11" fillId="6" borderId="9" xfId="2" applyNumberFormat="1" applyFont="1" applyFill="1" applyBorder="1" applyAlignment="1">
      <alignment horizontal="center" vertical="center"/>
    </xf>
    <xf numFmtId="165" fontId="11" fillId="6" borderId="15" xfId="2" applyNumberFormat="1" applyFont="1" applyFill="1" applyBorder="1" applyAlignment="1">
      <alignment horizontal="center" vertical="center"/>
    </xf>
    <xf numFmtId="0" fontId="11" fillId="0" borderId="14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3" borderId="14" xfId="2" applyFont="1" applyFill="1" applyBorder="1" applyAlignment="1">
      <alignment horizontal="center" vertical="center" wrapText="1"/>
    </xf>
    <xf numFmtId="0" fontId="11" fillId="3" borderId="9" xfId="2" applyFont="1" applyFill="1" applyBorder="1" applyAlignment="1">
      <alignment horizontal="center" vertical="center" wrapText="1"/>
    </xf>
    <xf numFmtId="0" fontId="11" fillId="3" borderId="15" xfId="2" applyFont="1" applyFill="1" applyBorder="1" applyAlignment="1">
      <alignment horizontal="center" vertical="center" wrapText="1"/>
    </xf>
    <xf numFmtId="165" fontId="19" fillId="10" borderId="13" xfId="2" applyNumberFormat="1" applyFont="1" applyFill="1" applyBorder="1" applyAlignment="1">
      <alignment horizontal="center" vertical="center" wrapText="1"/>
    </xf>
    <xf numFmtId="165" fontId="19" fillId="10" borderId="6" xfId="2" applyNumberFormat="1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left" vertical="center" wrapText="1"/>
    </xf>
    <xf numFmtId="0" fontId="11" fillId="6" borderId="0" xfId="2" applyFont="1" applyFill="1" applyAlignment="1">
      <alignment horizontal="left" vertical="center" wrapText="1"/>
    </xf>
    <xf numFmtId="0" fontId="11" fillId="6" borderId="18" xfId="2" applyFont="1" applyFill="1" applyBorder="1" applyAlignment="1">
      <alignment horizontal="left" vertical="center" wrapText="1"/>
    </xf>
    <xf numFmtId="0" fontId="11" fillId="6" borderId="2" xfId="2" applyFont="1" applyFill="1" applyBorder="1" applyAlignment="1">
      <alignment horizontal="left" vertical="center" wrapText="1"/>
    </xf>
    <xf numFmtId="0" fontId="11" fillId="6" borderId="1" xfId="2" applyFont="1" applyFill="1" applyBorder="1" applyAlignment="1">
      <alignment horizontal="left" vertical="center" wrapText="1"/>
    </xf>
    <xf numFmtId="0" fontId="11" fillId="6" borderId="16" xfId="2" applyFont="1" applyFill="1" applyBorder="1" applyAlignment="1">
      <alignment horizontal="left" vertical="center" wrapText="1"/>
    </xf>
    <xf numFmtId="165" fontId="11" fillId="6" borderId="3" xfId="3" applyFont="1" applyFill="1" applyBorder="1" applyAlignment="1">
      <alignment horizontal="center" vertical="center"/>
    </xf>
    <xf numFmtId="165" fontId="11" fillId="6" borderId="2" xfId="3" applyFont="1" applyFill="1" applyBorder="1" applyAlignment="1">
      <alignment horizontal="center" vertical="center"/>
    </xf>
    <xf numFmtId="0" fontId="11" fillId="6" borderId="6" xfId="2" applyFont="1" applyFill="1" applyBorder="1" applyAlignment="1">
      <alignment horizontal="left" vertical="center" wrapText="1"/>
    </xf>
    <xf numFmtId="165" fontId="11" fillId="6" borderId="14" xfId="3" applyFont="1" applyFill="1" applyBorder="1" applyAlignment="1">
      <alignment horizontal="left" vertical="center"/>
    </xf>
    <xf numFmtId="165" fontId="11" fillId="6" borderId="9" xfId="3" applyFont="1" applyFill="1" applyBorder="1" applyAlignment="1">
      <alignment horizontal="left" vertical="center"/>
    </xf>
    <xf numFmtId="165" fontId="11" fillId="6" borderId="15" xfId="3" applyFont="1" applyFill="1" applyBorder="1" applyAlignment="1">
      <alignment horizontal="left" vertical="center"/>
    </xf>
    <xf numFmtId="0" fontId="11" fillId="2" borderId="8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9" fillId="2" borderId="13" xfId="2" applyFont="1" applyFill="1" applyBorder="1" applyAlignment="1">
      <alignment horizontal="center" vertical="center" wrapText="1"/>
    </xf>
    <xf numFmtId="0" fontId="19" fillId="2" borderId="6" xfId="2" applyFont="1" applyFill="1" applyBorder="1" applyAlignment="1">
      <alignment horizontal="center" vertical="center" wrapText="1"/>
    </xf>
    <xf numFmtId="4" fontId="19" fillId="2" borderId="13" xfId="2" applyNumberFormat="1" applyFont="1" applyFill="1" applyBorder="1" applyAlignment="1">
      <alignment horizontal="center" vertical="center" wrapText="1"/>
    </xf>
    <xf numFmtId="4" fontId="19" fillId="2" borderId="6" xfId="2" applyNumberFormat="1" applyFont="1" applyFill="1" applyBorder="1" applyAlignment="1">
      <alignment horizontal="center" vertical="center" wrapText="1"/>
    </xf>
    <xf numFmtId="165" fontId="19" fillId="2" borderId="12" xfId="2" applyNumberFormat="1" applyFont="1" applyFill="1" applyBorder="1" applyAlignment="1">
      <alignment horizontal="center" vertical="center" wrapText="1"/>
    </xf>
    <xf numFmtId="165" fontId="19" fillId="2" borderId="10" xfId="2" applyNumberFormat="1" applyFont="1" applyFill="1" applyBorder="1" applyAlignment="1">
      <alignment horizontal="center" vertical="center" wrapText="1"/>
    </xf>
    <xf numFmtId="165" fontId="19" fillId="2" borderId="11" xfId="2" applyNumberFormat="1" applyFont="1" applyFill="1" applyBorder="1" applyAlignment="1">
      <alignment horizontal="center" vertical="center" wrapText="1"/>
    </xf>
    <xf numFmtId="14" fontId="11" fillId="6" borderId="14" xfId="2" applyNumberFormat="1" applyFont="1" applyFill="1" applyBorder="1" applyAlignment="1">
      <alignment horizontal="center" vertical="center"/>
    </xf>
    <xf numFmtId="14" fontId="11" fillId="6" borderId="9" xfId="2" applyNumberFormat="1" applyFont="1" applyFill="1" applyBorder="1" applyAlignment="1">
      <alignment horizontal="center" vertical="center"/>
    </xf>
    <xf numFmtId="165" fontId="19" fillId="2" borderId="8" xfId="2" applyNumberFormat="1" applyFont="1" applyFill="1" applyBorder="1" applyAlignment="1">
      <alignment horizontal="center" vertical="center" wrapText="1"/>
    </xf>
    <xf numFmtId="0" fontId="11" fillId="3" borderId="19" xfId="2" applyFont="1" applyFill="1" applyBorder="1" applyAlignment="1">
      <alignment horizontal="left" vertical="center" wrapText="1"/>
    </xf>
    <xf numFmtId="0" fontId="11" fillId="3" borderId="20" xfId="2" applyFont="1" applyFill="1" applyBorder="1" applyAlignment="1">
      <alignment horizontal="left" vertical="center" wrapText="1"/>
    </xf>
    <xf numFmtId="0" fontId="11" fillId="3" borderId="21" xfId="2" applyFont="1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0" xfId="2" applyFont="1" applyFill="1" applyBorder="1" applyAlignment="1">
      <alignment horizontal="left" vertical="center" wrapText="1"/>
    </xf>
    <xf numFmtId="0" fontId="11" fillId="6" borderId="11" xfId="2" applyFont="1" applyFill="1" applyBorder="1" applyAlignment="1">
      <alignment horizontal="left" vertical="center" wrapText="1"/>
    </xf>
    <xf numFmtId="165" fontId="11" fillId="6" borderId="2" xfId="3" applyFont="1" applyFill="1" applyBorder="1" applyAlignment="1">
      <alignment horizontal="left" vertical="center"/>
    </xf>
    <xf numFmtId="165" fontId="11" fillId="6" borderId="1" xfId="3" applyFont="1" applyFill="1" applyBorder="1" applyAlignment="1">
      <alignment horizontal="left" vertical="center"/>
    </xf>
    <xf numFmtId="165" fontId="11" fillId="6" borderId="16" xfId="3" applyFont="1" applyFill="1" applyBorder="1" applyAlignment="1">
      <alignment horizontal="left" vertical="center"/>
    </xf>
    <xf numFmtId="43" fontId="41" fillId="6" borderId="2" xfId="1" applyFont="1" applyFill="1" applyBorder="1" applyAlignment="1" applyProtection="1">
      <alignment horizontal="center" vertical="center"/>
    </xf>
    <xf numFmtId="43" fontId="41" fillId="6" borderId="1" xfId="1" applyFont="1" applyFill="1" applyBorder="1" applyAlignment="1" applyProtection="1">
      <alignment horizontal="center" vertical="center"/>
    </xf>
    <xf numFmtId="43" fontId="41" fillId="6" borderId="16" xfId="1" applyFont="1" applyFill="1" applyBorder="1" applyAlignment="1" applyProtection="1">
      <alignment horizontal="center" vertical="center"/>
    </xf>
    <xf numFmtId="43" fontId="39" fillId="0" borderId="2" xfId="1" applyFont="1" applyFill="1" applyBorder="1" applyAlignment="1">
      <alignment horizontal="center" vertical="center"/>
    </xf>
    <xf numFmtId="43" fontId="39" fillId="0" borderId="1" xfId="1" applyFont="1" applyFill="1" applyBorder="1" applyAlignment="1">
      <alignment horizontal="center" vertical="center"/>
    </xf>
    <xf numFmtId="43" fontId="39" fillId="0" borderId="16" xfId="1" applyFont="1" applyFill="1" applyBorder="1" applyAlignment="1">
      <alignment horizontal="center" vertical="center"/>
    </xf>
  </cellXfs>
  <cellStyles count="219">
    <cellStyle name="Hiperlink 2" xfId="28" xr:uid="{00000000-0005-0000-0000-000000000000}"/>
    <cellStyle name="Hiperlink 2 2" xfId="29" xr:uid="{00000000-0005-0000-0000-000001000000}"/>
    <cellStyle name="Moeda 2" xfId="15" xr:uid="{00000000-0005-0000-0000-000002000000}"/>
    <cellStyle name="Moeda 2 2" xfId="18" xr:uid="{00000000-0005-0000-0000-000003000000}"/>
    <cellStyle name="Moeda 2 2 2" xfId="30" xr:uid="{00000000-0005-0000-0000-000004000000}"/>
    <cellStyle name="Moeda 2 2 2 2" xfId="59" xr:uid="{90A9BA53-15C4-4699-86CD-4DDD8CE03DB4}"/>
    <cellStyle name="Moeda 2 2 2 2 2" xfId="162" xr:uid="{AFC3B808-777B-4A7F-9C23-30C6A7EF4422}"/>
    <cellStyle name="Moeda 2 2 2 3" xfId="134" xr:uid="{369B43B6-FE83-414F-A1CB-9EBFE80BD7FC}"/>
    <cellStyle name="Moeda 2 2 3" xfId="81" xr:uid="{D29A8E65-174A-4614-9B63-61D85428F1A2}"/>
    <cellStyle name="Moeda 2 3" xfId="34" xr:uid="{00000000-0005-0000-0000-000005000000}"/>
    <cellStyle name="Moeda 2 3 2" xfId="62" xr:uid="{18885641-763B-4E0A-9579-B187722B54A0}"/>
    <cellStyle name="Moeda 2 3 2 2" xfId="165" xr:uid="{4BBF795C-4F7C-4258-954C-6A9ACB8EC6C3}"/>
    <cellStyle name="Moeda 2 3 3" xfId="137" xr:uid="{35522F53-83F0-4B21-9746-0198203E4EBB}"/>
    <cellStyle name="Moeda 2 4" xfId="53" xr:uid="{73B6B115-6178-4E9E-A783-05FC9EEF74FD}"/>
    <cellStyle name="Moeda 2 4 2" xfId="156" xr:uid="{DEB3E198-657A-4078-99CB-A86F1B48DF9E}"/>
    <cellStyle name="Moeda 2 5" xfId="128" xr:uid="{48A6F9FB-D498-43A0-9DCB-FBDDADA9244C}"/>
    <cellStyle name="Normal" xfId="0" builtinId="0"/>
    <cellStyle name="Normal 10 2" xfId="19" xr:uid="{00000000-0005-0000-0000-000007000000}"/>
    <cellStyle name="Normal 2" xfId="2" xr:uid="{00000000-0005-0000-0000-000008000000}"/>
    <cellStyle name="Normal 2 2" xfId="31" xr:uid="{00000000-0005-0000-0000-000009000000}"/>
    <cellStyle name="Normal 3" xfId="20" xr:uid="{00000000-0005-0000-0000-00000A000000}"/>
    <cellStyle name="Normal 3 2" xfId="27" xr:uid="{00000000-0005-0000-0000-00000B000000}"/>
    <cellStyle name="Normal 4" xfId="4" xr:uid="{00000000-0005-0000-0000-00000C000000}"/>
    <cellStyle name="Normal 4 2" xfId="7" xr:uid="{00000000-0005-0000-0000-00000D000000}"/>
    <cellStyle name="Normal 4 2 2" xfId="12" xr:uid="{00000000-0005-0000-0000-00000E000000}"/>
    <cellStyle name="Normal 4 2 2 2" xfId="51" xr:uid="{188770B0-1273-4E50-A7B1-2CD7D64E5C47}"/>
    <cellStyle name="Normal 4 2 2 2 2" xfId="103" xr:uid="{BFCA5F8B-8005-4C5E-AE87-79FD51DF0418}"/>
    <cellStyle name="Normal 4 2 2 2 2 2" xfId="205" xr:uid="{85831D2C-9AA4-4BC7-985B-D95279343E46}"/>
    <cellStyle name="Normal 4 2 2 2 3" xfId="154" xr:uid="{82502BF1-2AB1-4603-971A-C9A5F8BD216E}"/>
    <cellStyle name="Normal 4 2 2 3" xfId="77" xr:uid="{46F0C824-22D6-4121-ACBD-03B038FE8C7E}"/>
    <cellStyle name="Normal 4 2 2 3 2" xfId="180" xr:uid="{AC60F561-B84A-4B26-A1F1-913BB9A26B41}"/>
    <cellStyle name="Normal 4 2 2 4" xfId="126" xr:uid="{B5CCD232-D766-4E3C-8EFF-369C29CD5964}"/>
    <cellStyle name="Normal 4 2 3" xfId="46" xr:uid="{93524FC3-2DB5-4AC3-8355-724E0D561ADE}"/>
    <cellStyle name="Normal 4 2 3 2" xfId="98" xr:uid="{D7F919B5-1665-4977-838F-500D23A5AA4C}"/>
    <cellStyle name="Normal 4 2 3 2 2" xfId="200" xr:uid="{FCD4B6B3-2FF9-4D19-B2A2-3EE0B4D04094}"/>
    <cellStyle name="Normal 4 2 3 3" xfId="149" xr:uid="{AE5594EE-4A8B-4443-A175-56B04610954D}"/>
    <cellStyle name="Normal 4 2 4" xfId="72" xr:uid="{33AFED8E-F1E7-4327-A45A-4A464AB306CE}"/>
    <cellStyle name="Normal 4 2 4 2" xfId="175" xr:uid="{E55C20AD-91B0-4F1A-A337-FA93BE585BF8}"/>
    <cellStyle name="Normal 4 2 5" xfId="121" xr:uid="{A5CB06C6-188F-463B-AC89-343A6F27603D}"/>
    <cellStyle name="Normal 4 3" xfId="21" xr:uid="{00000000-0005-0000-0000-00000F000000}"/>
    <cellStyle name="Normal 4 4" xfId="9" xr:uid="{00000000-0005-0000-0000-000010000000}"/>
    <cellStyle name="Normal 4 4 2" xfId="48" xr:uid="{F10FD0B6-76F0-4EFE-9268-642582338FFD}"/>
    <cellStyle name="Normal 4 4 2 2" xfId="100" xr:uid="{51D2AB84-3D51-498D-BBB5-0647F81F4DAE}"/>
    <cellStyle name="Normal 4 4 2 2 2" xfId="202" xr:uid="{564EF867-96A0-4C04-ACCE-D3DC67A246F1}"/>
    <cellStyle name="Normal 4 4 2 3" xfId="151" xr:uid="{CF0660B9-100E-4F39-8F4D-0EF8152E9808}"/>
    <cellStyle name="Normal 4 4 3" xfId="74" xr:uid="{9A84EDFD-F0B1-42CC-9170-C14B22865528}"/>
    <cellStyle name="Normal 4 4 3 2" xfId="177" xr:uid="{ECFA4E66-4531-4248-8DF2-8580D3617365}"/>
    <cellStyle name="Normal 4 4 4" xfId="123" xr:uid="{7A16AF41-FC80-4EE7-A3B8-351E7FA2A2FF}"/>
    <cellStyle name="Normal 4 5" xfId="41" xr:uid="{2D124857-B5BB-41A8-965D-2435A8D8CF17}"/>
    <cellStyle name="Normal 4 5 2" xfId="93" xr:uid="{B7766184-FE6D-4256-95BC-8CA21B7443CE}"/>
    <cellStyle name="Normal 4 5 2 2" xfId="195" xr:uid="{4AC476D0-5AD3-427F-B9AB-396F066B536D}"/>
    <cellStyle name="Normal 4 5 3" xfId="144" xr:uid="{43C054CF-C384-45F1-BE85-82103D2992F3}"/>
    <cellStyle name="Normal 4 6" xfId="43" xr:uid="{55E9F537-6C87-431C-A606-4BE08FD26A13}"/>
    <cellStyle name="Normal 4 6 2" xfId="95" xr:uid="{04E81928-7C5B-4276-A72D-810F07F1EACE}"/>
    <cellStyle name="Normal 4 6 2 2" xfId="197" xr:uid="{F1DF7273-2C54-4246-AC70-B303D49F3013}"/>
    <cellStyle name="Normal 4 6 3" xfId="146" xr:uid="{089CC5A9-3271-4893-A346-3571CC77C898}"/>
    <cellStyle name="Normal 4 7" xfId="69" xr:uid="{6034FAB7-B994-4649-B014-E1118D10AA55}"/>
    <cellStyle name="Normal 4 7 2" xfId="172" xr:uid="{E19D6FF2-0CE3-4C3E-B55E-A9F59E0FBDF5}"/>
    <cellStyle name="Normal 4 8" xfId="118" xr:uid="{842FAA05-809D-4B36-9A25-1091C7ED2FDA}"/>
    <cellStyle name="Normal 5" xfId="17" xr:uid="{00000000-0005-0000-0000-000011000000}"/>
    <cellStyle name="Normal 5 2" xfId="36" xr:uid="{00000000-0005-0000-0000-000012000000}"/>
    <cellStyle name="Normal 5 2 2" xfId="64" xr:uid="{6015F007-8EC4-4474-9609-C1AB43183202}"/>
    <cellStyle name="Normal 5 2 2 2" xfId="113" xr:uid="{A175FEE1-3BC7-4BA7-9823-FCCB6AAFD8F9}"/>
    <cellStyle name="Normal 5 2 2 2 2" xfId="215" xr:uid="{5AB04544-FEE3-47AA-9593-C84D5358D889}"/>
    <cellStyle name="Normal 5 2 2 3" xfId="167" xr:uid="{5CE53643-1307-4E9D-A473-4D962E8E3AD0}"/>
    <cellStyle name="Normal 5 2 3" xfId="88" xr:uid="{2AB94274-9A8D-414A-AB2E-FED802790E12}"/>
    <cellStyle name="Normal 5 2 3 2" xfId="190" xr:uid="{F33C3B51-30FB-42E6-8231-43276A7B54FA}"/>
    <cellStyle name="Normal 5 2 4" xfId="139" xr:uid="{D28F13B6-FA48-4D05-90DB-B0E854D6DB57}"/>
    <cellStyle name="Normal 5 3" xfId="55" xr:uid="{D3FE4909-1881-464C-ACAB-9EB0E2F314A1}"/>
    <cellStyle name="Normal 5 3 2" xfId="106" xr:uid="{54FCF551-419E-4839-9695-6659130F8623}"/>
    <cellStyle name="Normal 5 3 2 2" xfId="208" xr:uid="{91680364-8142-486D-8BDF-8768143D483F}"/>
    <cellStyle name="Normal 5 3 3" xfId="158" xr:uid="{6930804B-8DEA-45D2-8733-28360D3063C0}"/>
    <cellStyle name="Normal 5 4" xfId="80" xr:uid="{CF4A1C76-EC74-4CB3-92AD-90BB345C15F6}"/>
    <cellStyle name="Normal 5 4 2" xfId="183" xr:uid="{B5E173C6-5CC9-48E5-82C7-CF1285F8FD46}"/>
    <cellStyle name="Normal 5 5" xfId="130" xr:uid="{D9ED2226-78ED-4005-89F3-33D0FCFDC434}"/>
    <cellStyle name="Normal 6" xfId="22" xr:uid="{00000000-0005-0000-0000-000013000000}"/>
    <cellStyle name="Normal 6 2" xfId="37" xr:uid="{00000000-0005-0000-0000-000014000000}"/>
    <cellStyle name="Normal 6 2 2" xfId="65" xr:uid="{8A575938-4981-490F-9A7B-7C77C7AC97D5}"/>
    <cellStyle name="Normal 6 2 2 2" xfId="114" xr:uid="{C874254C-260C-4E6D-B9CA-B779604FE045}"/>
    <cellStyle name="Normal 6 2 2 2 2" xfId="216" xr:uid="{CA79AE5B-77B1-47DB-9FB4-B333BACE5AA2}"/>
    <cellStyle name="Normal 6 2 2 3" xfId="168" xr:uid="{C0E40E80-C9DB-4512-B05B-554A1921196E}"/>
    <cellStyle name="Normal 6 2 3" xfId="89" xr:uid="{925444FD-278C-48DF-95E7-7037EB98EC77}"/>
    <cellStyle name="Normal 6 2 3 2" xfId="191" xr:uid="{D79B4808-A0A3-4670-8C39-3B04A6A09B6F}"/>
    <cellStyle name="Normal 6 2 4" xfId="140" xr:uid="{7AAED159-0FAD-4461-9F72-BBC109141E66}"/>
    <cellStyle name="Normal 6 3" xfId="56" xr:uid="{B4AE27E5-0266-4C4E-BF95-36F59D46AEF7}"/>
    <cellStyle name="Normal 6 3 2" xfId="107" xr:uid="{F2AF049A-816E-4630-8D55-2CB323EA43FA}"/>
    <cellStyle name="Normal 6 3 2 2" xfId="209" xr:uid="{6DBD2F38-1AAA-40F2-8C4C-788DF3A1B65E}"/>
    <cellStyle name="Normal 6 3 3" xfId="159" xr:uid="{0CCA5E06-3315-4486-A868-CCB9FCBE6253}"/>
    <cellStyle name="Normal 6 4" xfId="82" xr:uid="{D89ED79D-44DC-479E-894B-C2AC95C019F0}"/>
    <cellStyle name="Normal 6 4 2" xfId="184" xr:uid="{CF00A168-F02E-4AF6-90A2-683459607918}"/>
    <cellStyle name="Normal 6 5" xfId="131" xr:uid="{F9E93296-1CFE-4840-AEC5-9ABF034DA5E3}"/>
    <cellStyle name="Normal 7" xfId="23" xr:uid="{00000000-0005-0000-0000-000015000000}"/>
    <cellStyle name="Normal 7 2" xfId="38" xr:uid="{00000000-0005-0000-0000-000016000000}"/>
    <cellStyle name="Normal 7 2 2" xfId="66" xr:uid="{D3B9777A-1EA2-49DC-9300-95EAEA4E139D}"/>
    <cellStyle name="Normal 7 2 2 2" xfId="115" xr:uid="{E9A8232A-952E-48BC-ACB8-C5187670788C}"/>
    <cellStyle name="Normal 7 2 2 2 2" xfId="217" xr:uid="{3F3F6A2D-E518-4625-ACB5-F3BEC55A1D77}"/>
    <cellStyle name="Normal 7 2 2 3" xfId="169" xr:uid="{FA2468B0-F9CB-46F2-B242-E9BE4D9FE21A}"/>
    <cellStyle name="Normal 7 2 3" xfId="90" xr:uid="{47288616-703F-457B-B1BB-671355A30194}"/>
    <cellStyle name="Normal 7 2 3 2" xfId="192" xr:uid="{D49419B0-83D4-4D7D-8752-4E874EA06CE9}"/>
    <cellStyle name="Normal 7 2 4" xfId="141" xr:uid="{12414E1D-F0D4-4446-B992-07226E4C4E66}"/>
    <cellStyle name="Normal 7 3" xfId="57" xr:uid="{A86D3EF6-A052-4B6C-B86B-DC0E411CC86C}"/>
    <cellStyle name="Normal 7 3 2" xfId="108" xr:uid="{7DE17693-DE98-4007-BB34-9C124262B171}"/>
    <cellStyle name="Normal 7 3 2 2" xfId="210" xr:uid="{A0103AAF-1E4D-4E68-9609-8F3626FC83D9}"/>
    <cellStyle name="Normal 7 3 3" xfId="160" xr:uid="{6EF6F7D2-7A5D-441C-B060-745EAEDC4890}"/>
    <cellStyle name="Normal 7 4" xfId="83" xr:uid="{DC43F56B-4331-449A-B2BD-ABAF67C39B38}"/>
    <cellStyle name="Normal 7 4 2" xfId="185" xr:uid="{08B6F664-9788-4626-91C5-FA2CF8D4C273}"/>
    <cellStyle name="Normal 7 5" xfId="132" xr:uid="{A97D1246-C774-4739-9E4C-72B6A0140DCA}"/>
    <cellStyle name="Normal 8" xfId="24" xr:uid="{00000000-0005-0000-0000-000017000000}"/>
    <cellStyle name="Normal 9" xfId="13" xr:uid="{00000000-0005-0000-0000-000018000000}"/>
    <cellStyle name="Separador de milhares 2" xfId="3" xr:uid="{00000000-0005-0000-0000-000019000000}"/>
    <cellStyle name="Separador de milhares 2 2" xfId="6" xr:uid="{00000000-0005-0000-0000-00001A000000}"/>
    <cellStyle name="Separador de milhares 2 2 2" xfId="25" xr:uid="{00000000-0005-0000-0000-00001B000000}"/>
    <cellStyle name="Separador de milhares 2 2 2 2" xfId="39" xr:uid="{00000000-0005-0000-0000-00001C000000}"/>
    <cellStyle name="Separador de milhares 2 2 2 2 2" xfId="67" xr:uid="{2D9A4704-2585-4AF9-BBDF-CC5F6E04611A}"/>
    <cellStyle name="Separador de milhares 2 2 2 2 2 2" xfId="116" xr:uid="{8400B94B-D4FE-4BBD-9000-637AEAF263C7}"/>
    <cellStyle name="Separador de milhares 2 2 2 2 2 2 2" xfId="218" xr:uid="{34659E5B-7725-4382-84E1-334A3CDBF900}"/>
    <cellStyle name="Separador de milhares 2 2 2 2 2 3" xfId="170" xr:uid="{605ECB19-F4D1-464F-B431-C4B8147F1387}"/>
    <cellStyle name="Separador de milhares 2 2 2 2 3" xfId="91" xr:uid="{205E90CC-E04B-4B6D-9C35-E8FC25E97AF7}"/>
    <cellStyle name="Separador de milhares 2 2 2 2 3 2" xfId="193" xr:uid="{9B60DFC6-7EB3-4AC7-9B31-CB8E1F9621CE}"/>
    <cellStyle name="Separador de milhares 2 2 2 2 4" xfId="142" xr:uid="{7D9F1E8B-9C74-4994-A651-006A8EA835C9}"/>
    <cellStyle name="Separador de milhares 2 2 2 3" xfId="58" xr:uid="{9FFCFCF6-5CE1-4A23-BA56-580140913785}"/>
    <cellStyle name="Separador de milhares 2 2 2 3 2" xfId="109" xr:uid="{36123F89-517B-4A09-9020-5C453A38C283}"/>
    <cellStyle name="Separador de milhares 2 2 2 3 2 2" xfId="211" xr:uid="{E51E607D-9100-49C4-9EE2-BF41F23DD0B0}"/>
    <cellStyle name="Separador de milhares 2 2 2 3 3" xfId="161" xr:uid="{44F45414-6C6A-448F-A499-5004600CE646}"/>
    <cellStyle name="Separador de milhares 2 2 2 4" xfId="84" xr:uid="{7A5984E1-B77D-4727-9625-B45392513EE9}"/>
    <cellStyle name="Separador de milhares 2 2 2 4 2" xfId="186" xr:uid="{D01F00C9-8CA2-4433-A202-EF6665AD7048}"/>
    <cellStyle name="Separador de milhares 2 2 2 5" xfId="133" xr:uid="{A5C98F5A-06E3-4CD0-BB3C-2C7BB63E63A2}"/>
    <cellStyle name="Separador de milhares 2 2 3" xfId="11" xr:uid="{00000000-0005-0000-0000-00001D000000}"/>
    <cellStyle name="Separador de milhares 2 2 3 2" xfId="50" xr:uid="{3E8F3B3D-FB21-4F68-A6D6-9009175FECD6}"/>
    <cellStyle name="Separador de milhares 2 2 3 2 2" xfId="102" xr:uid="{9333E711-6F80-4442-9794-75CBE71CBD3E}"/>
    <cellStyle name="Separador de milhares 2 2 3 2 2 2" xfId="204" xr:uid="{8903E4D9-4FC7-4359-A39E-C4FCB5736F7A}"/>
    <cellStyle name="Separador de milhares 2 2 3 2 3" xfId="153" xr:uid="{4CE51A5A-E3A9-4766-8E4A-F69308EE2C09}"/>
    <cellStyle name="Separador de milhares 2 2 3 3" xfId="76" xr:uid="{E7627A46-31EE-4235-864C-F4BD43566257}"/>
    <cellStyle name="Separador de milhares 2 2 3 3 2" xfId="179" xr:uid="{08566B6F-650F-4742-AA82-2E4B6FFECA18}"/>
    <cellStyle name="Separador de milhares 2 2 3 4" xfId="125" xr:uid="{98099DE1-6F59-422A-A9C2-B52D5C891623}"/>
    <cellStyle name="Separador de milhares 2 2 4" xfId="45" xr:uid="{AFB64E2C-D903-4BAA-B73A-92ADDBA7DC99}"/>
    <cellStyle name="Separador de milhares 2 2 4 2" xfId="97" xr:uid="{D8D1E665-90D7-4D3C-8735-1C78DF2EBF35}"/>
    <cellStyle name="Separador de milhares 2 2 4 2 2" xfId="199" xr:uid="{5403DA95-E9D8-4E28-8412-7BF68B1DB574}"/>
    <cellStyle name="Separador de milhares 2 2 4 3" xfId="148" xr:uid="{B11E994E-BDB0-4A58-9968-9E58DD456E8D}"/>
    <cellStyle name="Separador de milhares 2 2 5" xfId="71" xr:uid="{1A6D3FE5-48AD-4EFE-8047-42ED9E72D49D}"/>
    <cellStyle name="Separador de milhares 2 2 5 2" xfId="174" xr:uid="{45B0541E-C799-446B-8B37-DCFCAFB40C65}"/>
    <cellStyle name="Separador de milhares 2 2 6" xfId="120" xr:uid="{E426AC09-86DA-4328-B4A4-92EFA51226DF}"/>
    <cellStyle name="Separador de milhares 4" xfId="26" xr:uid="{00000000-0005-0000-0000-00001E000000}"/>
    <cellStyle name="Vírgula" xfId="1" builtinId="3"/>
    <cellStyle name="Vírgula 2" xfId="5" xr:uid="{00000000-0005-0000-0000-000020000000}"/>
    <cellStyle name="Vírgula 2 2" xfId="32" xr:uid="{00000000-0005-0000-0000-000021000000}"/>
    <cellStyle name="Vírgula 2 2 2" xfId="60" xr:uid="{01FD95EC-D3C8-4395-B185-CE2D5C5AE4DD}"/>
    <cellStyle name="Vírgula 2 2 2 2" xfId="110" xr:uid="{11B80DF0-1115-4D9A-929B-D749776BB61D}"/>
    <cellStyle name="Vírgula 2 2 2 2 2" xfId="212" xr:uid="{82EB4C87-EE38-4868-9DF5-74641AAFC284}"/>
    <cellStyle name="Vírgula 2 2 2 3" xfId="163" xr:uid="{E3424444-1A5C-4036-9BF5-42F4A80BDAEA}"/>
    <cellStyle name="Vírgula 2 2 3" xfId="85" xr:uid="{347CAB95-725F-41BF-A999-078B44561843}"/>
    <cellStyle name="Vírgula 2 2 3 2" xfId="187" xr:uid="{5D811E96-1A14-42EF-9307-823DF9DD3575}"/>
    <cellStyle name="Vírgula 2 2 4" xfId="135" xr:uid="{FB0A0D8D-68E2-4020-8A99-90CC25D3197F}"/>
    <cellStyle name="Vírgula 2 3" xfId="35" xr:uid="{00000000-0005-0000-0000-000022000000}"/>
    <cellStyle name="Vírgula 2 3 2" xfId="63" xr:uid="{2A0C897D-435E-4368-BE04-1FAB05F4AF3C}"/>
    <cellStyle name="Vírgula 2 3 2 2" xfId="112" xr:uid="{CD323087-3BEA-4179-9525-A3ED84A3AB5C}"/>
    <cellStyle name="Vírgula 2 3 2 2 2" xfId="214" xr:uid="{0D0CC049-C8F8-4566-9C3A-279C9F0C4AF5}"/>
    <cellStyle name="Vírgula 2 3 2 3" xfId="166" xr:uid="{AF044CE5-5D81-4FA3-B053-0112019938F0}"/>
    <cellStyle name="Vírgula 2 3 3" xfId="87" xr:uid="{B170B7D9-E7F7-45D3-9ED9-D2B79AE6BCA5}"/>
    <cellStyle name="Vírgula 2 3 3 2" xfId="189" xr:uid="{C65FC0F0-9FC9-4989-9414-C0C341429A47}"/>
    <cellStyle name="Vírgula 2 3 4" xfId="138" xr:uid="{D2E27E19-DF82-40F8-94B1-186B15EE7E0E}"/>
    <cellStyle name="Vírgula 2 4" xfId="16" xr:uid="{00000000-0005-0000-0000-000023000000}"/>
    <cellStyle name="Vírgula 2 4 2" xfId="54" xr:uid="{B5DE8B4E-9FAD-41BE-96FA-33A833332BF0}"/>
    <cellStyle name="Vírgula 2 4 2 2" xfId="105" xr:uid="{FD2E5525-3D56-4942-A25B-B8540BA0D326}"/>
    <cellStyle name="Vírgula 2 4 2 2 2" xfId="207" xr:uid="{FAD22103-BC20-43E2-90B4-55A690983381}"/>
    <cellStyle name="Vírgula 2 4 2 3" xfId="157" xr:uid="{DAC3BDF2-8552-48A3-A0FA-FA0486634D2C}"/>
    <cellStyle name="Vírgula 2 4 3" xfId="79" xr:uid="{BBA4A4CF-5EB0-4709-8255-E651C95BECEB}"/>
    <cellStyle name="Vírgula 2 4 3 2" xfId="182" xr:uid="{44D279A5-6736-4CB5-ADEA-ADB6AE8118BB}"/>
    <cellStyle name="Vírgula 2 4 4" xfId="129" xr:uid="{F82704B3-8AB3-4151-9D63-995532B15F9B}"/>
    <cellStyle name="Vírgula 2 5" xfId="10" xr:uid="{00000000-0005-0000-0000-000024000000}"/>
    <cellStyle name="Vírgula 2 5 2" xfId="49" xr:uid="{BB1EFBFB-B446-4F3D-8211-6088AEF63284}"/>
    <cellStyle name="Vírgula 2 5 2 2" xfId="101" xr:uid="{13016FBA-9CC0-4440-8316-4099AE3D1A5C}"/>
    <cellStyle name="Vírgula 2 5 2 2 2" xfId="203" xr:uid="{F125EDAC-C5C9-442A-BE6F-D449E5C7500B}"/>
    <cellStyle name="Vírgula 2 5 2 3" xfId="152" xr:uid="{E332926F-F54E-4A8C-B09A-B6DC199F61CF}"/>
    <cellStyle name="Vírgula 2 5 3" xfId="75" xr:uid="{66D019C0-1614-41F4-83DF-8A5B62056EE6}"/>
    <cellStyle name="Vírgula 2 5 3 2" xfId="178" xr:uid="{454B36D7-6803-4DC4-926F-0AA348CB7BCF}"/>
    <cellStyle name="Vírgula 2 5 4" xfId="124" xr:uid="{DD0854E5-5C15-4A29-81CC-8FF99EDD1E9B}"/>
    <cellStyle name="Vírgula 2 6" xfId="44" xr:uid="{1873ED22-54F5-4A85-9E67-F08B4506BA47}"/>
    <cellStyle name="Vírgula 2 6 2" xfId="96" xr:uid="{63ECA0B8-7AB3-4161-B51E-513F1D33BEA1}"/>
    <cellStyle name="Vírgula 2 6 2 2" xfId="198" xr:uid="{2FED9062-6FC7-476A-A739-F23A5D2D9908}"/>
    <cellStyle name="Vírgula 2 6 3" xfId="147" xr:uid="{EA85E6DE-7135-4CC5-94D7-886C370FF469}"/>
    <cellStyle name="Vírgula 2 7" xfId="70" xr:uid="{CB36172D-B8C2-48C9-B025-E02A8372701E}"/>
    <cellStyle name="Vírgula 2 7 2" xfId="173" xr:uid="{B414E8A3-4704-419E-B409-C5BD93ED7710}"/>
    <cellStyle name="Vírgula 2 8" xfId="119" xr:uid="{B6BB8AAD-642F-4486-A869-993EE1462C66}"/>
    <cellStyle name="Vírgula 3" xfId="33" xr:uid="{00000000-0005-0000-0000-000025000000}"/>
    <cellStyle name="Vírgula 3 2" xfId="61" xr:uid="{2B74F9A1-AA6D-4C42-A12C-5E1D23C1C9C2}"/>
    <cellStyle name="Vírgula 3 2 2" xfId="111" xr:uid="{D5565966-E642-45A0-9631-C2B01D51A24E}"/>
    <cellStyle name="Vírgula 3 2 2 2" xfId="213" xr:uid="{09AE33A3-A75C-40CB-AB8D-56D8CB7B3BD6}"/>
    <cellStyle name="Vírgula 3 2 3" xfId="164" xr:uid="{592000F5-C905-425B-B212-0599D40213EA}"/>
    <cellStyle name="Vírgula 3 3" xfId="86" xr:uid="{DB38338F-69EB-4DA0-8F7F-1706C93A3B02}"/>
    <cellStyle name="Vírgula 3 3 2" xfId="188" xr:uid="{533B99FC-B93B-47D5-BE99-4FC6475E5FEE}"/>
    <cellStyle name="Vírgula 3 4" xfId="136" xr:uid="{8A5E2BB6-99D0-4B62-BB49-9FC15BD48501}"/>
    <cellStyle name="Vírgula 4" xfId="14" xr:uid="{00000000-0005-0000-0000-000026000000}"/>
    <cellStyle name="Vírgula 4 2" xfId="52" xr:uid="{CAD3B6DE-E6FB-40E6-BA6F-CDDA47025B76}"/>
    <cellStyle name="Vírgula 4 2 2" xfId="104" xr:uid="{FD3C6903-61A1-481F-BC2B-A3C200EA2B2E}"/>
    <cellStyle name="Vírgula 4 2 2 2" xfId="206" xr:uid="{94190E92-ED44-47BC-B171-6EEAC1B848DC}"/>
    <cellStyle name="Vírgula 4 2 3" xfId="155" xr:uid="{001D4397-E95B-4B64-BBB4-447DCC36836B}"/>
    <cellStyle name="Vírgula 4 3" xfId="78" xr:uid="{8AD41A91-46EC-4529-BDC6-6F9C73C85A0F}"/>
    <cellStyle name="Vírgula 4 3 2" xfId="181" xr:uid="{D06B8DFE-B5FD-4F02-BD5E-47EB91A932F3}"/>
    <cellStyle name="Vírgula 4 4" xfId="127" xr:uid="{CB87162E-58B7-4502-A1F8-C57904A4D09E}"/>
    <cellStyle name="Vírgula 5" xfId="8" xr:uid="{00000000-0005-0000-0000-000027000000}"/>
    <cellStyle name="Vírgula 5 2" xfId="47" xr:uid="{70A0E2E5-4FCF-45CB-A3E3-B15DB7F93A78}"/>
    <cellStyle name="Vírgula 5 2 2" xfId="99" xr:uid="{1DDDC45C-05E3-42AA-9517-40439245F499}"/>
    <cellStyle name="Vírgula 5 2 2 2" xfId="201" xr:uid="{3B33625F-3E7D-499A-B7BC-7A952B9B2C75}"/>
    <cellStyle name="Vírgula 5 2 3" xfId="150" xr:uid="{B165E8F1-3EF3-4AF7-8B3E-84780C95B101}"/>
    <cellStyle name="Vírgula 5 3" xfId="73" xr:uid="{70777B3A-C0E3-4DBC-A3BA-8943F9227896}"/>
    <cellStyle name="Vírgula 5 3 2" xfId="176" xr:uid="{7E9BF504-F95D-402D-B68B-3E692DC21EFB}"/>
    <cellStyle name="Vírgula 5 4" xfId="122" xr:uid="{1426872F-5707-4341-970A-CFA0C957B8E1}"/>
    <cellStyle name="Vírgula 6" xfId="40" xr:uid="{0545B7ED-0546-4C11-B5D4-2E0ED60DAECE}"/>
    <cellStyle name="Vírgula 6 2" xfId="92" xr:uid="{293C08F1-3A44-4C3A-9A60-7A92BE8B8BA4}"/>
    <cellStyle name="Vírgula 6 2 2" xfId="194" xr:uid="{C000BF7D-72D2-4209-BC66-3B278C62680B}"/>
    <cellStyle name="Vírgula 6 3" xfId="143" xr:uid="{50720106-45C9-4112-AE71-4FFC8E5B4E74}"/>
    <cellStyle name="Vírgula 7" xfId="42" xr:uid="{BEDF6C22-9B53-4AA5-8D2B-EE63E9531912}"/>
    <cellStyle name="Vírgula 7 2" xfId="94" xr:uid="{A88AF4B7-BF04-458C-8AAC-70039F5ACC09}"/>
    <cellStyle name="Vírgula 7 2 2" xfId="196" xr:uid="{F37A0706-5332-4E36-A082-8C2B6102D7E5}"/>
    <cellStyle name="Vírgula 7 3" xfId="145" xr:uid="{D2D3982C-3CAE-4231-B8BD-022FC686CBD0}"/>
    <cellStyle name="Vírgula 8" xfId="68" xr:uid="{EEA80631-22D6-4705-BB3B-F1102C25A5D6}"/>
    <cellStyle name="Vírgula 8 2" xfId="171" xr:uid="{E671E65E-E17D-4382-B998-20361BCB6DAB}"/>
    <cellStyle name="Vírgula 9" xfId="117" xr:uid="{3C076A01-B281-414E-B77F-1F593E7037A9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17"/>
  <sheetViews>
    <sheetView tabSelected="1" view="pageBreakPreview" topLeftCell="A55" zoomScale="70" zoomScaleNormal="90" zoomScaleSheetLayoutView="70" zoomScalePageLayoutView="40" workbookViewId="0">
      <selection activeCell="K394" sqref="K394"/>
    </sheetView>
  </sheetViews>
  <sheetFormatPr defaultColWidth="11.19921875" defaultRowHeight="15" outlineLevelRow="2" x14ac:dyDescent="0.3"/>
  <cols>
    <col min="1" max="1" width="8.06640625" style="7" bestFit="1" customWidth="1"/>
    <col min="2" max="2" width="65.59765625" style="7" customWidth="1"/>
    <col min="3" max="3" width="4.6640625" style="9" bestFit="1" customWidth="1"/>
    <col min="4" max="4" width="9.46484375" style="7" customWidth="1"/>
    <col min="5" max="5" width="11.86328125" style="7" bestFit="1" customWidth="1"/>
    <col min="6" max="6" width="11" style="7" customWidth="1"/>
    <col min="7" max="7" width="9.19921875" style="7" customWidth="1"/>
    <col min="8" max="8" width="11.86328125" style="7" bestFit="1" customWidth="1"/>
    <col min="9" max="9" width="11" style="9" bestFit="1" customWidth="1"/>
    <col min="10" max="10" width="16.265625" style="7" bestFit="1" customWidth="1"/>
    <col min="11" max="12" width="8.265625" style="7" customWidth="1"/>
    <col min="13" max="13" width="25" style="7" customWidth="1"/>
    <col min="14" max="17" width="8.265625" style="7" customWidth="1"/>
    <col min="18" max="19" width="11.19921875" style="7"/>
    <col min="20" max="20" width="14.46484375" style="7" bestFit="1" customWidth="1"/>
    <col min="21" max="16384" width="11.19921875" style="7"/>
  </cols>
  <sheetData>
    <row r="1" spans="1:12" s="6" customFormat="1" ht="22" x14ac:dyDescent="0.3">
      <c r="A1" s="57" t="s">
        <v>547</v>
      </c>
      <c r="B1" s="58"/>
      <c r="C1" s="58"/>
      <c r="D1" s="58" t="s">
        <v>36</v>
      </c>
      <c r="E1" s="58"/>
      <c r="F1" s="59"/>
      <c r="G1" s="58"/>
      <c r="H1" s="58"/>
      <c r="I1" s="58"/>
      <c r="J1" s="58"/>
      <c r="K1" s="58"/>
      <c r="L1" s="58"/>
    </row>
    <row r="2" spans="1:12" s="6" customFormat="1" ht="22.5" thickBot="1" x14ac:dyDescent="0.35">
      <c r="A2" s="11"/>
      <c r="B2" s="11"/>
      <c r="C2" s="11"/>
      <c r="D2" s="11"/>
      <c r="E2" s="11"/>
      <c r="F2" s="12"/>
      <c r="G2" s="11"/>
      <c r="H2" s="11"/>
      <c r="I2" s="11"/>
      <c r="J2" s="11"/>
      <c r="K2" s="11"/>
      <c r="L2" s="11"/>
    </row>
    <row r="3" spans="1:12" s="6" customFormat="1" ht="15" customHeight="1" thickBot="1" x14ac:dyDescent="0.35">
      <c r="A3" s="211" t="s">
        <v>790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3"/>
    </row>
    <row r="4" spans="1:12" s="6" customFormat="1" ht="14.25" customHeight="1" x14ac:dyDescent="0.3">
      <c r="A4" s="187" t="s">
        <v>842</v>
      </c>
      <c r="B4" s="188"/>
      <c r="C4" s="188"/>
      <c r="D4" s="188"/>
      <c r="E4" s="189"/>
      <c r="F4" s="214" t="s">
        <v>281</v>
      </c>
      <c r="G4" s="215"/>
      <c r="H4" s="215"/>
      <c r="I4" s="215"/>
      <c r="J4" s="215"/>
      <c r="K4" s="215"/>
      <c r="L4" s="216"/>
    </row>
    <row r="5" spans="1:12" s="6" customFormat="1" ht="14.25" customHeight="1" x14ac:dyDescent="0.3">
      <c r="A5" s="190" t="s">
        <v>46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2"/>
    </row>
    <row r="6" spans="1:12" s="6" customFormat="1" ht="14.25" customHeight="1" x14ac:dyDescent="0.3">
      <c r="A6" s="190" t="s">
        <v>47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2"/>
    </row>
    <row r="7" spans="1:12" s="6" customFormat="1" ht="14" x14ac:dyDescent="0.3">
      <c r="A7" s="190" t="s">
        <v>49</v>
      </c>
      <c r="B7" s="191"/>
      <c r="C7" s="192"/>
      <c r="D7" s="193"/>
      <c r="E7" s="193"/>
      <c r="F7" s="194"/>
      <c r="G7" s="217" t="s">
        <v>37</v>
      </c>
      <c r="H7" s="218"/>
      <c r="I7" s="218"/>
      <c r="J7" s="218"/>
      <c r="K7" s="218"/>
      <c r="L7" s="219"/>
    </row>
    <row r="8" spans="1:12" s="6" customFormat="1" ht="15.75" customHeight="1" thickBot="1" x14ac:dyDescent="0.35">
      <c r="A8" s="195" t="s">
        <v>48</v>
      </c>
      <c r="B8" s="195"/>
      <c r="C8" s="195"/>
      <c r="D8" s="196" t="s">
        <v>50</v>
      </c>
      <c r="E8" s="197"/>
      <c r="F8" s="198"/>
      <c r="G8" s="208">
        <v>45198</v>
      </c>
      <c r="H8" s="209"/>
      <c r="I8" s="176"/>
      <c r="J8" s="177"/>
      <c r="K8" s="177"/>
      <c r="L8" s="178"/>
    </row>
    <row r="9" spans="1:12" s="6" customFormat="1" ht="15.75" customHeight="1" thickBot="1" x14ac:dyDescent="0.35">
      <c r="A9" s="179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1"/>
    </row>
    <row r="10" spans="1:12" s="6" customFormat="1" ht="15" customHeight="1" thickBot="1" x14ac:dyDescent="0.35">
      <c r="A10" s="182" t="s">
        <v>791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4"/>
    </row>
    <row r="11" spans="1:12" s="6" customFormat="1" ht="14" x14ac:dyDescent="0.3">
      <c r="A11" s="199" t="s">
        <v>1</v>
      </c>
      <c r="B11" s="199" t="s">
        <v>38</v>
      </c>
      <c r="C11" s="203" t="s">
        <v>39</v>
      </c>
      <c r="D11" s="201" t="s">
        <v>2</v>
      </c>
      <c r="E11" s="205" t="s">
        <v>40</v>
      </c>
      <c r="F11" s="206"/>
      <c r="G11" s="207"/>
      <c r="H11" s="210" t="s">
        <v>0</v>
      </c>
      <c r="I11" s="210"/>
      <c r="J11" s="210"/>
      <c r="K11" s="185" t="s">
        <v>553</v>
      </c>
      <c r="L11" s="185" t="s">
        <v>704</v>
      </c>
    </row>
    <row r="12" spans="1:12" s="6" customFormat="1" ht="15.75" customHeight="1" thickBot="1" x14ac:dyDescent="0.35">
      <c r="A12" s="200"/>
      <c r="B12" s="200"/>
      <c r="C12" s="204"/>
      <c r="D12" s="202"/>
      <c r="E12" s="10" t="s">
        <v>41</v>
      </c>
      <c r="F12" s="10" t="s">
        <v>42</v>
      </c>
      <c r="G12" s="10" t="s">
        <v>43</v>
      </c>
      <c r="H12" s="10" t="s">
        <v>41</v>
      </c>
      <c r="I12" s="10" t="s">
        <v>42</v>
      </c>
      <c r="J12" s="10" t="s">
        <v>43</v>
      </c>
      <c r="K12" s="186"/>
      <c r="L12" s="186"/>
    </row>
    <row r="13" spans="1:12" s="6" customFormat="1" ht="14" x14ac:dyDescent="0.3">
      <c r="A13" s="60">
        <v>1</v>
      </c>
      <c r="B13" s="61" t="s">
        <v>3</v>
      </c>
      <c r="C13" s="62"/>
      <c r="D13" s="60"/>
      <c r="E13" s="63"/>
      <c r="F13" s="63"/>
      <c r="G13" s="63"/>
      <c r="H13" s="63"/>
      <c r="I13" s="63"/>
      <c r="J13" s="63">
        <f>J14+J23</f>
        <v>1051451.6340999999</v>
      </c>
      <c r="K13" s="63"/>
      <c r="L13" s="63"/>
    </row>
    <row r="14" spans="1:12" s="14" customFormat="1" ht="14.5" hidden="1" outlineLevel="1" x14ac:dyDescent="0.3">
      <c r="A14" s="64" t="s">
        <v>44</v>
      </c>
      <c r="B14" s="65" t="s">
        <v>652</v>
      </c>
      <c r="C14" s="66"/>
      <c r="D14" s="64"/>
      <c r="E14" s="67"/>
      <c r="F14" s="67"/>
      <c r="G14" s="67"/>
      <c r="H14" s="67"/>
      <c r="I14" s="67"/>
      <c r="J14" s="104">
        <f>SUM(J15:J22)</f>
        <v>381282.73599999998</v>
      </c>
      <c r="K14" s="67"/>
      <c r="L14" s="67"/>
    </row>
    <row r="15" spans="1:12" s="13" customFormat="1" hidden="1" outlineLevel="2" x14ac:dyDescent="0.3">
      <c r="A15" s="68" t="s">
        <v>653</v>
      </c>
      <c r="B15" s="69" t="s">
        <v>70</v>
      </c>
      <c r="C15" s="70" t="s">
        <v>4</v>
      </c>
      <c r="D15" s="70">
        <v>1</v>
      </c>
      <c r="E15" s="71"/>
      <c r="F15" s="71"/>
      <c r="G15" s="71">
        <v>400</v>
      </c>
      <c r="H15" s="71"/>
      <c r="I15" s="72"/>
      <c r="J15" s="73">
        <f>G15*D15</f>
        <v>400</v>
      </c>
      <c r="K15" s="80" t="s">
        <v>262</v>
      </c>
      <c r="L15" s="80" t="s">
        <v>262</v>
      </c>
    </row>
    <row r="16" spans="1:12" s="13" customFormat="1" hidden="1" outlineLevel="2" x14ac:dyDescent="0.3">
      <c r="A16" s="68" t="s">
        <v>654</v>
      </c>
      <c r="B16" s="69" t="s">
        <v>71</v>
      </c>
      <c r="C16" s="70" t="s">
        <v>5</v>
      </c>
      <c r="D16" s="70">
        <f>6*2</f>
        <v>12</v>
      </c>
      <c r="E16" s="71"/>
      <c r="F16" s="71"/>
      <c r="G16" s="71">
        <v>403.45</v>
      </c>
      <c r="H16" s="71"/>
      <c r="I16" s="72"/>
      <c r="J16" s="72">
        <f>D16*G16</f>
        <v>4841.3999999999996</v>
      </c>
      <c r="K16" s="74" t="s">
        <v>651</v>
      </c>
      <c r="L16" s="74" t="s">
        <v>705</v>
      </c>
    </row>
    <row r="17" spans="1:13" s="13" customFormat="1" ht="29" hidden="1" outlineLevel="2" x14ac:dyDescent="0.3">
      <c r="A17" s="68" t="s">
        <v>655</v>
      </c>
      <c r="B17" s="69" t="s">
        <v>159</v>
      </c>
      <c r="C17" s="70" t="s">
        <v>5</v>
      </c>
      <c r="D17" s="70">
        <v>1865</v>
      </c>
      <c r="E17" s="71"/>
      <c r="F17" s="71"/>
      <c r="G17" s="71">
        <v>94.14</v>
      </c>
      <c r="H17" s="71"/>
      <c r="I17" s="72"/>
      <c r="J17" s="87">
        <f t="shared" ref="J17:J18" si="0">G17*D17</f>
        <v>175571.1</v>
      </c>
      <c r="K17" s="74" t="s">
        <v>840</v>
      </c>
      <c r="L17" s="80" t="s">
        <v>705</v>
      </c>
    </row>
    <row r="18" spans="1:13" s="17" customFormat="1" hidden="1" outlineLevel="2" x14ac:dyDescent="0.3">
      <c r="A18" s="68" t="s">
        <v>656</v>
      </c>
      <c r="B18" s="69" t="s">
        <v>947</v>
      </c>
      <c r="C18" s="70" t="s">
        <v>5</v>
      </c>
      <c r="D18" s="70">
        <f>3*5.5*6</f>
        <v>99</v>
      </c>
      <c r="E18" s="71"/>
      <c r="F18" s="71"/>
      <c r="G18" s="71">
        <v>274.69</v>
      </c>
      <c r="H18" s="71"/>
      <c r="I18" s="72"/>
      <c r="J18" s="87">
        <f t="shared" si="0"/>
        <v>27194.31</v>
      </c>
      <c r="K18" s="74" t="s">
        <v>841</v>
      </c>
      <c r="L18" s="80" t="s">
        <v>705</v>
      </c>
    </row>
    <row r="19" spans="1:13" s="13" customFormat="1" ht="29" hidden="1" outlineLevel="2" x14ac:dyDescent="0.3">
      <c r="A19" s="68" t="s">
        <v>663</v>
      </c>
      <c r="B19" s="69" t="s">
        <v>267</v>
      </c>
      <c r="C19" s="70" t="s">
        <v>5</v>
      </c>
      <c r="D19" s="70">
        <f>6*3*2</f>
        <v>36</v>
      </c>
      <c r="E19" s="71"/>
      <c r="F19" s="71"/>
      <c r="G19" s="71">
        <v>1088.54</v>
      </c>
      <c r="H19" s="71"/>
      <c r="I19" s="72"/>
      <c r="J19" s="87">
        <f t="shared" ref="J19" si="1">G19*D19</f>
        <v>39187.440000000002</v>
      </c>
      <c r="K19" s="74" t="s">
        <v>839</v>
      </c>
      <c r="L19" s="80" t="s">
        <v>838</v>
      </c>
    </row>
    <row r="20" spans="1:13" s="13" customFormat="1" ht="43.5" hidden="1" outlineLevel="2" x14ac:dyDescent="0.3">
      <c r="A20" s="68" t="s">
        <v>664</v>
      </c>
      <c r="B20" s="69" t="s">
        <v>836</v>
      </c>
      <c r="C20" s="70" t="s">
        <v>6</v>
      </c>
      <c r="D20" s="70">
        <f>6*3*3</f>
        <v>54</v>
      </c>
      <c r="E20" s="71"/>
      <c r="F20" s="71"/>
      <c r="G20" s="71">
        <v>966.53</v>
      </c>
      <c r="H20" s="71"/>
      <c r="I20" s="72"/>
      <c r="J20" s="87">
        <f t="shared" ref="J20" si="2">G20*D20</f>
        <v>52192.619999999995</v>
      </c>
      <c r="K20" s="74" t="s">
        <v>837</v>
      </c>
      <c r="L20" s="80" t="s">
        <v>838</v>
      </c>
    </row>
    <row r="21" spans="1:13" s="13" customFormat="1" ht="29" hidden="1" outlineLevel="2" x14ac:dyDescent="0.3">
      <c r="A21" s="68" t="s">
        <v>665</v>
      </c>
      <c r="B21" s="69" t="s">
        <v>7</v>
      </c>
      <c r="C21" s="70" t="s">
        <v>6</v>
      </c>
      <c r="D21" s="70">
        <f>6.7*6</f>
        <v>40.200000000000003</v>
      </c>
      <c r="E21" s="71"/>
      <c r="F21" s="71"/>
      <c r="G21" s="71">
        <v>1322.53</v>
      </c>
      <c r="H21" s="71"/>
      <c r="I21" s="72"/>
      <c r="J21" s="73">
        <f>G21*D21</f>
        <v>53165.706000000006</v>
      </c>
      <c r="K21" s="74" t="s">
        <v>835</v>
      </c>
      <c r="L21" s="80" t="s">
        <v>707</v>
      </c>
    </row>
    <row r="22" spans="1:13" s="13" customFormat="1" ht="29" hidden="1" outlineLevel="2" x14ac:dyDescent="0.3">
      <c r="A22" s="68" t="s">
        <v>666</v>
      </c>
      <c r="B22" s="69" t="s">
        <v>72</v>
      </c>
      <c r="C22" s="70" t="s">
        <v>5</v>
      </c>
      <c r="D22" s="70">
        <f>1014+678</f>
        <v>1692</v>
      </c>
      <c r="E22" s="71"/>
      <c r="F22" s="71"/>
      <c r="G22" s="71">
        <v>16.98</v>
      </c>
      <c r="H22" s="71"/>
      <c r="I22" s="72"/>
      <c r="J22" s="72">
        <f>G22*D22</f>
        <v>28730.16</v>
      </c>
      <c r="K22" s="74" t="s">
        <v>834</v>
      </c>
      <c r="L22" s="80" t="s">
        <v>707</v>
      </c>
    </row>
    <row r="23" spans="1:13" s="14" customFormat="1" ht="14.5" hidden="1" outlineLevel="1" x14ac:dyDescent="0.3">
      <c r="A23" s="64" t="s">
        <v>45</v>
      </c>
      <c r="B23" s="65" t="s">
        <v>730</v>
      </c>
      <c r="C23" s="66"/>
      <c r="D23" s="64"/>
      <c r="E23" s="67"/>
      <c r="F23" s="67"/>
      <c r="G23" s="67"/>
      <c r="H23" s="67"/>
      <c r="I23" s="67"/>
      <c r="J23" s="104">
        <f>SUM(J24:J33)</f>
        <v>670168.89809999999</v>
      </c>
      <c r="K23" s="67"/>
      <c r="L23" s="67"/>
    </row>
    <row r="24" spans="1:13" s="13" customFormat="1" hidden="1" outlineLevel="2" x14ac:dyDescent="0.3">
      <c r="A24" s="75" t="s">
        <v>657</v>
      </c>
      <c r="B24" s="76" t="s">
        <v>740</v>
      </c>
      <c r="C24" s="77" t="s">
        <v>5</v>
      </c>
      <c r="D24" s="77">
        <v>526.55999999999995</v>
      </c>
      <c r="E24" s="88"/>
      <c r="F24" s="88"/>
      <c r="G24" s="88">
        <v>26.33</v>
      </c>
      <c r="H24" s="88"/>
      <c r="I24" s="87"/>
      <c r="J24" s="87">
        <f>G24*D24</f>
        <v>13864.324799999999</v>
      </c>
      <c r="K24" s="80" t="s">
        <v>734</v>
      </c>
      <c r="L24" s="80" t="s">
        <v>705</v>
      </c>
      <c r="M24" s="51"/>
    </row>
    <row r="25" spans="1:13" ht="29" hidden="1" outlineLevel="2" x14ac:dyDescent="0.3">
      <c r="A25" s="75" t="s">
        <v>658</v>
      </c>
      <c r="B25" s="76" t="s">
        <v>741</v>
      </c>
      <c r="C25" s="77" t="s">
        <v>5</v>
      </c>
      <c r="D25" s="77">
        <v>592.16</v>
      </c>
      <c r="E25" s="88"/>
      <c r="F25" s="88"/>
      <c r="G25" s="88">
        <v>26.33</v>
      </c>
      <c r="H25" s="88"/>
      <c r="I25" s="87"/>
      <c r="J25" s="87">
        <f>G25*D25</f>
        <v>15591.572799999998</v>
      </c>
      <c r="K25" s="80" t="s">
        <v>734</v>
      </c>
      <c r="L25" s="80" t="s">
        <v>705</v>
      </c>
      <c r="M25" s="51"/>
    </row>
    <row r="26" spans="1:13" s="48" customFormat="1" hidden="1" outlineLevel="2" x14ac:dyDescent="0.3">
      <c r="A26" s="75" t="s">
        <v>659</v>
      </c>
      <c r="B26" s="76" t="s">
        <v>739</v>
      </c>
      <c r="C26" s="77" t="s">
        <v>10</v>
      </c>
      <c r="D26" s="77">
        <f>141+153</f>
        <v>294</v>
      </c>
      <c r="E26" s="88"/>
      <c r="F26" s="88"/>
      <c r="G26" s="88">
        <v>8.76</v>
      </c>
      <c r="H26" s="88"/>
      <c r="I26" s="87"/>
      <c r="J26" s="87">
        <f>G26*D26</f>
        <v>2575.44</v>
      </c>
      <c r="K26" s="80" t="s">
        <v>735</v>
      </c>
      <c r="L26" s="80" t="s">
        <v>705</v>
      </c>
    </row>
    <row r="27" spans="1:13" s="48" customFormat="1" hidden="1" outlineLevel="2" x14ac:dyDescent="0.3">
      <c r="A27" s="75" t="s">
        <v>660</v>
      </c>
      <c r="B27" s="76" t="s">
        <v>731</v>
      </c>
      <c r="C27" s="77" t="s">
        <v>10</v>
      </c>
      <c r="D27" s="77">
        <f>D26</f>
        <v>294</v>
      </c>
      <c r="E27" s="88"/>
      <c r="F27" s="88"/>
      <c r="G27" s="88">
        <v>13.14</v>
      </c>
      <c r="H27" s="88"/>
      <c r="I27" s="87"/>
      <c r="J27" s="87">
        <f>G27*D27</f>
        <v>3863.1600000000003</v>
      </c>
      <c r="K27" s="80" t="s">
        <v>736</v>
      </c>
      <c r="L27" s="80" t="s">
        <v>705</v>
      </c>
    </row>
    <row r="28" spans="1:13" hidden="1" outlineLevel="2" x14ac:dyDescent="0.3">
      <c r="A28" s="75" t="s">
        <v>661</v>
      </c>
      <c r="B28" s="76" t="s">
        <v>833</v>
      </c>
      <c r="C28" s="77" t="s">
        <v>6</v>
      </c>
      <c r="D28" s="77">
        <v>3</v>
      </c>
      <c r="E28" s="88"/>
      <c r="F28" s="88"/>
      <c r="G28" s="88">
        <v>267.48</v>
      </c>
      <c r="H28" s="88"/>
      <c r="I28" s="87"/>
      <c r="J28" s="87">
        <f>G28*D28</f>
        <v>802.44</v>
      </c>
      <c r="K28" s="80" t="s">
        <v>737</v>
      </c>
      <c r="L28" s="80" t="s">
        <v>705</v>
      </c>
      <c r="M28" s="51"/>
    </row>
    <row r="29" spans="1:13" s="17" customFormat="1" ht="29" hidden="1" outlineLevel="2" x14ac:dyDescent="0.3">
      <c r="A29" s="75" t="s">
        <v>662</v>
      </c>
      <c r="B29" s="69" t="s">
        <v>269</v>
      </c>
      <c r="C29" s="70" t="s">
        <v>8</v>
      </c>
      <c r="D29" s="70">
        <v>200</v>
      </c>
      <c r="E29" s="71"/>
      <c r="F29" s="71"/>
      <c r="G29" s="71">
        <f>1*10*2.29</f>
        <v>22.9</v>
      </c>
      <c r="H29" s="71"/>
      <c r="I29" s="72"/>
      <c r="J29" s="72">
        <f>D29*G29</f>
        <v>4580</v>
      </c>
      <c r="K29" s="74" t="s">
        <v>844</v>
      </c>
      <c r="L29" s="80" t="s">
        <v>705</v>
      </c>
      <c r="M29" s="51"/>
    </row>
    <row r="30" spans="1:13" s="17" customFormat="1" hidden="1" outlineLevel="2" x14ac:dyDescent="0.3">
      <c r="A30" s="75" t="s">
        <v>732</v>
      </c>
      <c r="B30" s="69" t="s">
        <v>268</v>
      </c>
      <c r="C30" s="70" t="s">
        <v>6</v>
      </c>
      <c r="D30" s="70">
        <f>4*4*10+14</f>
        <v>174</v>
      </c>
      <c r="E30" s="71"/>
      <c r="F30" s="71"/>
      <c r="G30" s="71">
        <v>111.91</v>
      </c>
      <c r="H30" s="71"/>
      <c r="I30" s="72"/>
      <c r="J30" s="72">
        <f>D30*G30</f>
        <v>19472.34</v>
      </c>
      <c r="K30" s="74" t="s">
        <v>738</v>
      </c>
      <c r="L30" s="80" t="s">
        <v>705</v>
      </c>
      <c r="M30" s="51"/>
    </row>
    <row r="31" spans="1:13" s="13" customFormat="1" hidden="1" outlineLevel="2" x14ac:dyDescent="0.3">
      <c r="A31" s="75" t="s">
        <v>733</v>
      </c>
      <c r="B31" s="76" t="s">
        <v>792</v>
      </c>
      <c r="C31" s="77" t="s">
        <v>5</v>
      </c>
      <c r="D31" s="77">
        <v>171.25</v>
      </c>
      <c r="E31" s="88"/>
      <c r="F31" s="88"/>
      <c r="G31" s="88">
        <v>26.33</v>
      </c>
      <c r="H31" s="88"/>
      <c r="I31" s="87"/>
      <c r="J31" s="87">
        <f>G31*D31</f>
        <v>4509.0124999999998</v>
      </c>
      <c r="K31" s="80" t="s">
        <v>734</v>
      </c>
      <c r="L31" s="80" t="s">
        <v>705</v>
      </c>
      <c r="M31" s="51"/>
    </row>
    <row r="32" spans="1:13" s="13" customFormat="1" ht="29" hidden="1" outlineLevel="2" x14ac:dyDescent="0.3">
      <c r="A32" s="75" t="s">
        <v>831</v>
      </c>
      <c r="B32" s="69" t="s">
        <v>850</v>
      </c>
      <c r="C32" s="70" t="s">
        <v>8</v>
      </c>
      <c r="D32" s="70">
        <v>4250</v>
      </c>
      <c r="E32" s="71"/>
      <c r="F32" s="71"/>
      <c r="G32" s="71">
        <v>139</v>
      </c>
      <c r="H32" s="71"/>
      <c r="I32" s="72"/>
      <c r="J32" s="73">
        <f>D32*G32</f>
        <v>590750</v>
      </c>
      <c r="K32" s="80" t="s">
        <v>824</v>
      </c>
      <c r="L32" s="80" t="s">
        <v>707</v>
      </c>
      <c r="M32" s="51"/>
    </row>
    <row r="33" spans="1:13" s="13" customFormat="1" hidden="1" outlineLevel="2" x14ac:dyDescent="0.3">
      <c r="A33" s="75" t="s">
        <v>832</v>
      </c>
      <c r="B33" s="69" t="s">
        <v>851</v>
      </c>
      <c r="C33" s="70" t="s">
        <v>8</v>
      </c>
      <c r="D33" s="70">
        <f>392*1.1</f>
        <v>431.20000000000005</v>
      </c>
      <c r="E33" s="71"/>
      <c r="F33" s="71"/>
      <c r="G33" s="71">
        <v>32.840000000000003</v>
      </c>
      <c r="H33" s="71"/>
      <c r="I33" s="72"/>
      <c r="J33" s="73">
        <f>G33*D33</f>
        <v>14160.608000000004</v>
      </c>
      <c r="K33" s="80" t="s">
        <v>846</v>
      </c>
      <c r="L33" s="80" t="s">
        <v>705</v>
      </c>
      <c r="M33" s="51"/>
    </row>
    <row r="34" spans="1:13" s="6" customFormat="1" ht="14" collapsed="1" x14ac:dyDescent="0.3">
      <c r="A34" s="92">
        <v>2</v>
      </c>
      <c r="B34" s="93" t="s">
        <v>69</v>
      </c>
      <c r="C34" s="94"/>
      <c r="D34" s="92"/>
      <c r="E34" s="95"/>
      <c r="F34" s="95"/>
      <c r="G34" s="95"/>
      <c r="H34" s="95"/>
      <c r="I34" s="95"/>
      <c r="J34" s="95">
        <f>J35+J43</f>
        <v>1511876.72566</v>
      </c>
      <c r="K34" s="95"/>
      <c r="L34" s="95"/>
    </row>
    <row r="35" spans="1:13" s="14" customFormat="1" ht="14.5" hidden="1" outlineLevel="1" x14ac:dyDescent="0.3">
      <c r="A35" s="64" t="s">
        <v>51</v>
      </c>
      <c r="B35" s="65" t="s">
        <v>217</v>
      </c>
      <c r="C35" s="66"/>
      <c r="D35" s="64"/>
      <c r="E35" s="67"/>
      <c r="F35" s="67"/>
      <c r="G35" s="67"/>
      <c r="H35" s="67"/>
      <c r="I35" s="67"/>
      <c r="J35" s="104">
        <f>SUM(J36:J42)</f>
        <v>875351.46</v>
      </c>
      <c r="K35" s="67"/>
      <c r="L35" s="67"/>
    </row>
    <row r="36" spans="1:13" s="13" customFormat="1" ht="29" hidden="1" outlineLevel="2" x14ac:dyDescent="0.3">
      <c r="A36" s="75" t="s">
        <v>80</v>
      </c>
      <c r="B36" s="76" t="s">
        <v>794</v>
      </c>
      <c r="C36" s="77" t="s">
        <v>10</v>
      </c>
      <c r="D36" s="77">
        <f>14*42</f>
        <v>588</v>
      </c>
      <c r="E36" s="97"/>
      <c r="F36" s="97"/>
      <c r="G36" s="97">
        <v>86.3</v>
      </c>
      <c r="H36" s="97"/>
      <c r="I36" s="98"/>
      <c r="J36" s="98">
        <f>G36*D36</f>
        <v>50744.4</v>
      </c>
      <c r="K36" s="80" t="s">
        <v>786</v>
      </c>
      <c r="L36" s="80" t="s">
        <v>705</v>
      </c>
      <c r="M36" s="7"/>
    </row>
    <row r="37" spans="1:13" s="13" customFormat="1" ht="29" hidden="1" outlineLevel="2" x14ac:dyDescent="0.3">
      <c r="A37" s="75" t="s">
        <v>784</v>
      </c>
      <c r="B37" s="76" t="s">
        <v>795</v>
      </c>
      <c r="C37" s="77" t="s">
        <v>10</v>
      </c>
      <c r="D37" s="77">
        <f>14*69</f>
        <v>966</v>
      </c>
      <c r="E37" s="97"/>
      <c r="F37" s="97"/>
      <c r="G37" s="97">
        <v>144.94999999999999</v>
      </c>
      <c r="H37" s="97"/>
      <c r="I37" s="98"/>
      <c r="J37" s="98">
        <f>G37*D37</f>
        <v>140021.69999999998</v>
      </c>
      <c r="K37" s="80" t="s">
        <v>787</v>
      </c>
      <c r="L37" s="80" t="s">
        <v>705</v>
      </c>
      <c r="M37" s="7"/>
    </row>
    <row r="38" spans="1:13" s="13" customFormat="1" ht="29" hidden="1" outlineLevel="2" x14ac:dyDescent="0.3">
      <c r="A38" s="75" t="s">
        <v>350</v>
      </c>
      <c r="B38" s="76" t="s">
        <v>796</v>
      </c>
      <c r="C38" s="77" t="s">
        <v>10</v>
      </c>
      <c r="D38" s="77">
        <f>14*50</f>
        <v>700</v>
      </c>
      <c r="E38" s="97"/>
      <c r="F38" s="97"/>
      <c r="G38" s="97">
        <v>194.71</v>
      </c>
      <c r="H38" s="97"/>
      <c r="I38" s="98"/>
      <c r="J38" s="98">
        <f>G38*D38</f>
        <v>136297</v>
      </c>
      <c r="K38" s="80" t="s">
        <v>550</v>
      </c>
      <c r="L38" s="80" t="s">
        <v>705</v>
      </c>
      <c r="M38" s="7"/>
    </row>
    <row r="39" spans="1:13" s="13" customFormat="1" ht="29" hidden="1" outlineLevel="2" x14ac:dyDescent="0.3">
      <c r="A39" s="75" t="s">
        <v>81</v>
      </c>
      <c r="B39" s="76" t="s">
        <v>797</v>
      </c>
      <c r="C39" s="77" t="s">
        <v>10</v>
      </c>
      <c r="D39" s="77">
        <f>14*12</f>
        <v>168</v>
      </c>
      <c r="E39" s="97"/>
      <c r="F39" s="97"/>
      <c r="G39" s="97">
        <v>264.12</v>
      </c>
      <c r="H39" s="97"/>
      <c r="I39" s="98"/>
      <c r="J39" s="98">
        <f>G39*D39</f>
        <v>44372.160000000003</v>
      </c>
      <c r="K39" s="80" t="s">
        <v>550</v>
      </c>
      <c r="L39" s="80" t="s">
        <v>705</v>
      </c>
      <c r="M39" s="7"/>
    </row>
    <row r="40" spans="1:13" s="13" customFormat="1" ht="29" hidden="1" outlineLevel="2" x14ac:dyDescent="0.3">
      <c r="A40" s="75" t="s">
        <v>785</v>
      </c>
      <c r="B40" s="76" t="s">
        <v>798</v>
      </c>
      <c r="C40" s="77" t="s">
        <v>10</v>
      </c>
      <c r="D40" s="77">
        <f>14*24</f>
        <v>336</v>
      </c>
      <c r="E40" s="88"/>
      <c r="F40" s="88"/>
      <c r="G40" s="88">
        <v>120.39</v>
      </c>
      <c r="H40" s="88"/>
      <c r="I40" s="87"/>
      <c r="J40" s="87">
        <f>G40*D40</f>
        <v>40451.040000000001</v>
      </c>
      <c r="K40" s="80" t="s">
        <v>788</v>
      </c>
      <c r="L40" s="80" t="s">
        <v>707</v>
      </c>
      <c r="M40" s="7"/>
    </row>
    <row r="41" spans="1:13" hidden="1" outlineLevel="2" x14ac:dyDescent="0.3">
      <c r="A41" s="75" t="s">
        <v>984</v>
      </c>
      <c r="B41" s="76" t="s">
        <v>282</v>
      </c>
      <c r="C41" s="77" t="s">
        <v>8</v>
      </c>
      <c r="D41" s="77">
        <v>521</v>
      </c>
      <c r="E41" s="97"/>
      <c r="F41" s="97"/>
      <c r="G41" s="97">
        <v>546.76</v>
      </c>
      <c r="H41" s="97"/>
      <c r="I41" s="98"/>
      <c r="J41" s="98">
        <f>D41*G41</f>
        <v>284861.96000000002</v>
      </c>
      <c r="K41" s="80" t="s">
        <v>551</v>
      </c>
      <c r="L41" s="80" t="s">
        <v>705</v>
      </c>
    </row>
    <row r="42" spans="1:13" hidden="1" outlineLevel="2" x14ac:dyDescent="0.3">
      <c r="A42" s="75" t="s">
        <v>985</v>
      </c>
      <c r="B42" s="76" t="s">
        <v>352</v>
      </c>
      <c r="C42" s="77" t="s">
        <v>353</v>
      </c>
      <c r="D42" s="77">
        <v>13953.375</v>
      </c>
      <c r="E42" s="97"/>
      <c r="F42" s="97"/>
      <c r="G42" s="97">
        <v>12.8</v>
      </c>
      <c r="H42" s="97"/>
      <c r="I42" s="98"/>
      <c r="J42" s="98">
        <f>G42*D42</f>
        <v>178603.2</v>
      </c>
      <c r="K42" s="80" t="s">
        <v>552</v>
      </c>
      <c r="L42" s="80" t="s">
        <v>705</v>
      </c>
    </row>
    <row r="43" spans="1:13" hidden="1" outlineLevel="1" x14ac:dyDescent="0.3">
      <c r="A43" s="64" t="s">
        <v>52</v>
      </c>
      <c r="B43" s="65" t="s">
        <v>218</v>
      </c>
      <c r="C43" s="66"/>
      <c r="D43" s="64"/>
      <c r="E43" s="67"/>
      <c r="F43" s="67"/>
      <c r="G43" s="67"/>
      <c r="H43" s="67"/>
      <c r="I43" s="67"/>
      <c r="J43" s="104">
        <f>SUM(J44:J50)</f>
        <v>636525.26566000003</v>
      </c>
      <c r="K43" s="67"/>
      <c r="L43" s="67"/>
    </row>
    <row r="44" spans="1:13" s="13" customFormat="1" ht="29" hidden="1" outlineLevel="2" x14ac:dyDescent="0.3">
      <c r="A44" s="75" t="s">
        <v>148</v>
      </c>
      <c r="B44" s="76" t="s">
        <v>703</v>
      </c>
      <c r="C44" s="77" t="s">
        <v>9</v>
      </c>
      <c r="D44" s="77">
        <f>D49*2</f>
        <v>662</v>
      </c>
      <c r="E44" s="88"/>
      <c r="F44" s="88"/>
      <c r="G44" s="88">
        <f>76.63</f>
        <v>76.63</v>
      </c>
      <c r="H44" s="88"/>
      <c r="I44" s="87"/>
      <c r="J44" s="87">
        <f t="shared" ref="J44:J50" si="3">G44*D44</f>
        <v>50729.06</v>
      </c>
      <c r="K44" s="80" t="s">
        <v>667</v>
      </c>
      <c r="L44" s="80" t="s">
        <v>705</v>
      </c>
      <c r="M44" s="23"/>
    </row>
    <row r="45" spans="1:13" s="13" customFormat="1" hidden="1" outlineLevel="2" x14ac:dyDescent="0.3">
      <c r="A45" s="75" t="s">
        <v>149</v>
      </c>
      <c r="B45" s="76" t="s">
        <v>11</v>
      </c>
      <c r="C45" s="77" t="s">
        <v>5</v>
      </c>
      <c r="D45" s="77">
        <f>363.62*2</f>
        <v>727.24</v>
      </c>
      <c r="E45" s="88"/>
      <c r="F45" s="88"/>
      <c r="G45" s="88">
        <v>5.47</v>
      </c>
      <c r="H45" s="88"/>
      <c r="I45" s="87"/>
      <c r="J45" s="87">
        <f t="shared" si="3"/>
        <v>3978.0027999999998</v>
      </c>
      <c r="K45" s="80" t="s">
        <v>668</v>
      </c>
      <c r="L45" s="80" t="s">
        <v>705</v>
      </c>
    </row>
    <row r="46" spans="1:13" s="13" customFormat="1" hidden="1" outlineLevel="2" x14ac:dyDescent="0.3">
      <c r="A46" s="75" t="s">
        <v>150</v>
      </c>
      <c r="B46" s="76" t="s">
        <v>12</v>
      </c>
      <c r="C46" s="77" t="s">
        <v>13</v>
      </c>
      <c r="D46" s="77">
        <f>D49*1.4</f>
        <v>463.4</v>
      </c>
      <c r="E46" s="88"/>
      <c r="F46" s="88"/>
      <c r="G46" s="88">
        <f>13.78</f>
        <v>13.78</v>
      </c>
      <c r="H46" s="88"/>
      <c r="I46" s="87"/>
      <c r="J46" s="87">
        <f t="shared" si="3"/>
        <v>6385.6519999999991</v>
      </c>
      <c r="K46" s="80" t="s">
        <v>669</v>
      </c>
      <c r="L46" s="80" t="s">
        <v>705</v>
      </c>
    </row>
    <row r="47" spans="1:13" s="13" customFormat="1" hidden="1" outlineLevel="2" x14ac:dyDescent="0.3">
      <c r="A47" s="75" t="s">
        <v>151</v>
      </c>
      <c r="B47" s="76" t="s">
        <v>206</v>
      </c>
      <c r="C47" s="77" t="s">
        <v>8</v>
      </c>
      <c r="D47" s="77">
        <f>D45*0.05</f>
        <v>36.362000000000002</v>
      </c>
      <c r="E47" s="88"/>
      <c r="F47" s="88"/>
      <c r="G47" s="88">
        <f>477.03</f>
        <v>477.03</v>
      </c>
      <c r="H47" s="88"/>
      <c r="I47" s="87"/>
      <c r="J47" s="87">
        <f t="shared" si="3"/>
        <v>17345.764859999999</v>
      </c>
      <c r="K47" s="80" t="s">
        <v>670</v>
      </c>
      <c r="L47" s="80" t="s">
        <v>705</v>
      </c>
    </row>
    <row r="48" spans="1:13" s="13" customFormat="1" ht="29" hidden="1" outlineLevel="2" x14ac:dyDescent="0.3">
      <c r="A48" s="75" t="s">
        <v>152</v>
      </c>
      <c r="B48" s="76" t="s">
        <v>14</v>
      </c>
      <c r="C48" s="77" t="s">
        <v>15</v>
      </c>
      <c r="D48" s="77">
        <v>551.20000000000005</v>
      </c>
      <c r="E48" s="88"/>
      <c r="F48" s="88"/>
      <c r="G48" s="88">
        <v>116.23</v>
      </c>
      <c r="H48" s="88"/>
      <c r="I48" s="87"/>
      <c r="J48" s="87">
        <f t="shared" si="3"/>
        <v>64065.97600000001</v>
      </c>
      <c r="K48" s="80" t="s">
        <v>554</v>
      </c>
      <c r="L48" s="80" t="s">
        <v>705</v>
      </c>
    </row>
    <row r="49" spans="1:13" s="13" customFormat="1" hidden="1" outlineLevel="2" x14ac:dyDescent="0.3">
      <c r="A49" s="75" t="s">
        <v>153</v>
      </c>
      <c r="B49" s="76" t="s">
        <v>147</v>
      </c>
      <c r="C49" s="77" t="s">
        <v>16</v>
      </c>
      <c r="D49" s="77">
        <v>331</v>
      </c>
      <c r="E49" s="88"/>
      <c r="F49" s="88"/>
      <c r="G49" s="97">
        <v>546.76</v>
      </c>
      <c r="H49" s="88"/>
      <c r="I49" s="87"/>
      <c r="J49" s="87">
        <f t="shared" si="3"/>
        <v>180977.56</v>
      </c>
      <c r="K49" s="80" t="s">
        <v>551</v>
      </c>
      <c r="L49" s="80" t="s">
        <v>705</v>
      </c>
    </row>
    <row r="50" spans="1:13" s="13" customFormat="1" hidden="1" outlineLevel="2" x14ac:dyDescent="0.3">
      <c r="A50" s="75" t="s">
        <v>203</v>
      </c>
      <c r="B50" s="76" t="s">
        <v>354</v>
      </c>
      <c r="C50" s="77" t="s">
        <v>17</v>
      </c>
      <c r="D50" s="77">
        <v>24825</v>
      </c>
      <c r="E50" s="88"/>
      <c r="F50" s="88"/>
      <c r="G50" s="88">
        <v>12.61</v>
      </c>
      <c r="H50" s="88"/>
      <c r="I50" s="87"/>
      <c r="J50" s="87">
        <f t="shared" si="3"/>
        <v>313043.25</v>
      </c>
      <c r="K50" s="80" t="s">
        <v>555</v>
      </c>
      <c r="L50" s="80" t="s">
        <v>705</v>
      </c>
    </row>
    <row r="51" spans="1:13" s="14" customFormat="1" ht="14" collapsed="1" x14ac:dyDescent="0.3">
      <c r="A51" s="92">
        <v>3</v>
      </c>
      <c r="B51" s="93" t="s">
        <v>73</v>
      </c>
      <c r="C51" s="94"/>
      <c r="D51" s="92"/>
      <c r="E51" s="95"/>
      <c r="F51" s="95"/>
      <c r="G51" s="95"/>
      <c r="H51" s="95"/>
      <c r="I51" s="95"/>
      <c r="J51" s="95">
        <f>SUM(J52:J59)</f>
        <v>17118243.439899996</v>
      </c>
      <c r="K51" s="95"/>
      <c r="L51" s="95"/>
    </row>
    <row r="52" spans="1:13" s="13" customFormat="1" ht="29" outlineLevel="2" x14ac:dyDescent="0.3">
      <c r="A52" s="75" t="s">
        <v>53</v>
      </c>
      <c r="B52" s="76" t="s">
        <v>74</v>
      </c>
      <c r="C52" s="77" t="s">
        <v>18</v>
      </c>
      <c r="D52" s="77">
        <v>17681.89</v>
      </c>
      <c r="E52" s="88"/>
      <c r="F52" s="88"/>
      <c r="G52" s="88">
        <v>116.23</v>
      </c>
      <c r="H52" s="88"/>
      <c r="I52" s="87"/>
      <c r="J52" s="87">
        <f t="shared" ref="J52:J55" si="4">G52*D52</f>
        <v>2055166.0747</v>
      </c>
      <c r="K52" s="80" t="s">
        <v>554</v>
      </c>
      <c r="L52" s="80" t="s">
        <v>705</v>
      </c>
    </row>
    <row r="53" spans="1:13" s="13" customFormat="1" outlineLevel="2" x14ac:dyDescent="0.3">
      <c r="A53" s="75" t="s">
        <v>54</v>
      </c>
      <c r="B53" s="76" t="s">
        <v>828</v>
      </c>
      <c r="C53" s="77" t="s">
        <v>19</v>
      </c>
      <c r="D53" s="77">
        <f>703.43+623.35+1404.35</f>
        <v>2731.13</v>
      </c>
      <c r="E53" s="88"/>
      <c r="F53" s="88"/>
      <c r="G53" s="88">
        <v>524.04</v>
      </c>
      <c r="H53" s="88"/>
      <c r="I53" s="87"/>
      <c r="J53" s="87">
        <f t="shared" si="4"/>
        <v>1431221.3651999999</v>
      </c>
      <c r="K53" s="80" t="s">
        <v>551</v>
      </c>
      <c r="L53" s="80" t="s">
        <v>705</v>
      </c>
      <c r="M53" s="23"/>
    </row>
    <row r="54" spans="1:13" s="13" customFormat="1" outlineLevel="2" x14ac:dyDescent="0.3">
      <c r="A54" s="75" t="s">
        <v>55</v>
      </c>
      <c r="B54" s="76" t="s">
        <v>351</v>
      </c>
      <c r="C54" s="77" t="s">
        <v>17</v>
      </c>
      <c r="D54" s="77">
        <v>286768.65000000002</v>
      </c>
      <c r="E54" s="88"/>
      <c r="F54" s="88"/>
      <c r="G54" s="88">
        <f>12.8</f>
        <v>12.8</v>
      </c>
      <c r="H54" s="88"/>
      <c r="I54" s="87"/>
      <c r="J54" s="87">
        <f t="shared" si="4"/>
        <v>3670638.7200000007</v>
      </c>
      <c r="K54" s="80" t="s">
        <v>789</v>
      </c>
      <c r="L54" s="80" t="s">
        <v>705</v>
      </c>
    </row>
    <row r="55" spans="1:13" s="13" customFormat="1" outlineLevel="2" x14ac:dyDescent="0.3">
      <c r="A55" s="75" t="s">
        <v>202</v>
      </c>
      <c r="B55" s="76" t="s">
        <v>975</v>
      </c>
      <c r="C55" s="77" t="s">
        <v>17</v>
      </c>
      <c r="D55" s="77">
        <v>195764</v>
      </c>
      <c r="E55" s="88"/>
      <c r="F55" s="88"/>
      <c r="G55" s="88">
        <v>38.799999999999997</v>
      </c>
      <c r="H55" s="88"/>
      <c r="I55" s="87"/>
      <c r="J55" s="96">
        <f t="shared" si="4"/>
        <v>7595643.1999999993</v>
      </c>
      <c r="K55" s="80"/>
      <c r="L55" s="80"/>
    </row>
    <row r="56" spans="1:13" s="13" customFormat="1" outlineLevel="2" x14ac:dyDescent="0.3">
      <c r="A56" s="75" t="s">
        <v>204</v>
      </c>
      <c r="B56" s="76" t="s">
        <v>825</v>
      </c>
      <c r="C56" s="77" t="s">
        <v>5</v>
      </c>
      <c r="D56" s="77">
        <v>3790</v>
      </c>
      <c r="E56" s="88"/>
      <c r="F56" s="88"/>
      <c r="G56" s="88">
        <f>289.95+217</f>
        <v>506.95</v>
      </c>
      <c r="H56" s="88"/>
      <c r="I56" s="87"/>
      <c r="J56" s="96">
        <f>G56*D56</f>
        <v>1921340.5</v>
      </c>
      <c r="K56" s="125" t="s">
        <v>977</v>
      </c>
      <c r="L56" s="80"/>
    </row>
    <row r="57" spans="1:13" s="13" customFormat="1" outlineLevel="2" x14ac:dyDescent="0.3">
      <c r="A57" s="75" t="s">
        <v>826</v>
      </c>
      <c r="B57" s="76" t="s">
        <v>830</v>
      </c>
      <c r="C57" s="77" t="s">
        <v>17</v>
      </c>
      <c r="D57" s="77">
        <v>19897.5</v>
      </c>
      <c r="E57" s="88"/>
      <c r="F57" s="88"/>
      <c r="G57" s="88">
        <v>12.8</v>
      </c>
      <c r="H57" s="88"/>
      <c r="I57" s="87"/>
      <c r="J57" s="96">
        <f>D57*G57</f>
        <v>254688</v>
      </c>
      <c r="K57" s="80" t="s">
        <v>789</v>
      </c>
      <c r="L57" s="80" t="s">
        <v>705</v>
      </c>
      <c r="M57" s="23"/>
    </row>
    <row r="58" spans="1:13" s="13" customFormat="1" outlineLevel="2" x14ac:dyDescent="0.3">
      <c r="A58" s="75" t="s">
        <v>829</v>
      </c>
      <c r="B58" s="76" t="s">
        <v>827</v>
      </c>
      <c r="C58" s="77" t="s">
        <v>8</v>
      </c>
      <c r="D58" s="77">
        <v>189.5</v>
      </c>
      <c r="E58" s="88"/>
      <c r="F58" s="88"/>
      <c r="G58" s="88">
        <v>524.04</v>
      </c>
      <c r="H58" s="88"/>
      <c r="I58" s="87"/>
      <c r="J58" s="96">
        <f>D58*G58</f>
        <v>99305.579999999987</v>
      </c>
      <c r="K58" s="80" t="s">
        <v>551</v>
      </c>
      <c r="L58" s="80" t="s">
        <v>705</v>
      </c>
    </row>
    <row r="59" spans="1:13" s="13" customFormat="1" outlineLevel="2" x14ac:dyDescent="0.3">
      <c r="A59" s="75" t="s">
        <v>914</v>
      </c>
      <c r="B59" s="76" t="s">
        <v>913</v>
      </c>
      <c r="C59" s="77" t="s">
        <v>10</v>
      </c>
      <c r="D59" s="77">
        <f>48.5+45.5</f>
        <v>94</v>
      </c>
      <c r="E59" s="88"/>
      <c r="F59" s="88"/>
      <c r="G59" s="88">
        <v>960</v>
      </c>
      <c r="H59" s="88"/>
      <c r="I59" s="87"/>
      <c r="J59" s="96">
        <f>G59*D59</f>
        <v>90240</v>
      </c>
      <c r="K59" s="80" t="s">
        <v>915</v>
      </c>
      <c r="L59" s="80" t="s">
        <v>705</v>
      </c>
    </row>
    <row r="60" spans="1:13" s="14" customFormat="1" ht="14" x14ac:dyDescent="0.3">
      <c r="A60" s="92">
        <v>4</v>
      </c>
      <c r="B60" s="93" t="s">
        <v>20</v>
      </c>
      <c r="C60" s="94"/>
      <c r="D60" s="92"/>
      <c r="E60" s="95"/>
      <c r="F60" s="95"/>
      <c r="G60" s="95"/>
      <c r="H60" s="95"/>
      <c r="I60" s="95"/>
      <c r="J60" s="95">
        <f>J61+J70</f>
        <v>1454505.8199</v>
      </c>
      <c r="K60" s="95"/>
      <c r="L60" s="95"/>
      <c r="M60" s="124"/>
    </row>
    <row r="61" spans="1:13" s="13" customFormat="1" hidden="1" outlineLevel="1" x14ac:dyDescent="0.3">
      <c r="A61" s="64" t="s">
        <v>56</v>
      </c>
      <c r="B61" s="65" t="s">
        <v>219</v>
      </c>
      <c r="C61" s="85"/>
      <c r="D61" s="66"/>
      <c r="E61" s="67"/>
      <c r="F61" s="67"/>
      <c r="G61" s="67"/>
      <c r="H61" s="67"/>
      <c r="I61" s="67"/>
      <c r="J61" s="104">
        <f>SUM(J62:J69)</f>
        <v>1248225.5197000001</v>
      </c>
      <c r="K61" s="67"/>
      <c r="L61" s="67"/>
      <c r="M61" s="23"/>
    </row>
    <row r="62" spans="1:13" s="13" customFormat="1" hidden="1" outlineLevel="2" x14ac:dyDescent="0.3">
      <c r="A62" s="75" t="s">
        <v>108</v>
      </c>
      <c r="B62" s="76" t="s">
        <v>270</v>
      </c>
      <c r="C62" s="77" t="s">
        <v>5</v>
      </c>
      <c r="D62" s="77">
        <f>225+1440+80+890+120+570+95+95+580+30+1075+20+90+215</f>
        <v>5525</v>
      </c>
      <c r="E62" s="88"/>
      <c r="F62" s="88"/>
      <c r="G62" s="88">
        <v>103.83</v>
      </c>
      <c r="H62" s="88"/>
      <c r="I62" s="87"/>
      <c r="J62" s="87">
        <f>G62*D62</f>
        <v>573660.75</v>
      </c>
      <c r="K62" s="80" t="s">
        <v>556</v>
      </c>
      <c r="L62" s="80" t="s">
        <v>705</v>
      </c>
    </row>
    <row r="63" spans="1:13" s="13" customFormat="1" hidden="1" outlineLevel="2" x14ac:dyDescent="0.3">
      <c r="A63" s="75" t="s">
        <v>402</v>
      </c>
      <c r="B63" s="76" t="s">
        <v>403</v>
      </c>
      <c r="C63" s="77" t="s">
        <v>5</v>
      </c>
      <c r="D63" s="77">
        <f>30+25+30+30+30+45+20+20</f>
        <v>230</v>
      </c>
      <c r="E63" s="88"/>
      <c r="F63" s="88"/>
      <c r="G63" s="88">
        <v>87.13</v>
      </c>
      <c r="H63" s="88"/>
      <c r="I63" s="87"/>
      <c r="J63" s="87">
        <f t="shared" ref="J63:J67" si="5">G63*D63</f>
        <v>20039.899999999998</v>
      </c>
      <c r="K63" s="80" t="s">
        <v>557</v>
      </c>
      <c r="L63" s="80" t="s">
        <v>705</v>
      </c>
      <c r="M63" s="23"/>
    </row>
    <row r="64" spans="1:13" s="13" customFormat="1" hidden="1" outlineLevel="2" x14ac:dyDescent="0.3">
      <c r="A64" s="75" t="s">
        <v>404</v>
      </c>
      <c r="B64" s="76" t="s">
        <v>405</v>
      </c>
      <c r="C64" s="77" t="s">
        <v>5</v>
      </c>
      <c r="D64" s="77">
        <v>10</v>
      </c>
      <c r="E64" s="88"/>
      <c r="F64" s="88"/>
      <c r="G64" s="88">
        <v>74.56</v>
      </c>
      <c r="H64" s="88"/>
      <c r="I64" s="87"/>
      <c r="J64" s="87">
        <f t="shared" si="5"/>
        <v>745.6</v>
      </c>
      <c r="K64" s="80" t="s">
        <v>558</v>
      </c>
      <c r="L64" s="80" t="s">
        <v>705</v>
      </c>
    </row>
    <row r="65" spans="1:13" s="13" customFormat="1" hidden="1" outlineLevel="2" x14ac:dyDescent="0.3">
      <c r="A65" s="75" t="s">
        <v>109</v>
      </c>
      <c r="B65" s="76" t="s">
        <v>205</v>
      </c>
      <c r="C65" s="77" t="s">
        <v>8</v>
      </c>
      <c r="D65" s="77">
        <f>0.06+0.92+1.3+2.55+3.35+3.35+0.24</f>
        <v>11.77</v>
      </c>
      <c r="E65" s="88"/>
      <c r="F65" s="88"/>
      <c r="G65" s="88">
        <v>1885.31</v>
      </c>
      <c r="H65" s="88"/>
      <c r="I65" s="87"/>
      <c r="J65" s="87">
        <f t="shared" si="5"/>
        <v>22190.098699999999</v>
      </c>
      <c r="K65" s="80" t="s">
        <v>559</v>
      </c>
      <c r="L65" s="80" t="s">
        <v>705</v>
      </c>
    </row>
    <row r="66" spans="1:13" s="13" customFormat="1" ht="29" hidden="1" outlineLevel="2" x14ac:dyDescent="0.3">
      <c r="A66" s="75" t="s">
        <v>154</v>
      </c>
      <c r="B66" s="76" t="s">
        <v>979</v>
      </c>
      <c r="C66" s="77" t="s">
        <v>5</v>
      </c>
      <c r="D66" s="77">
        <f>399+261+255+259+613</f>
        <v>1787</v>
      </c>
      <c r="E66" s="88"/>
      <c r="F66" s="88"/>
      <c r="G66" s="88">
        <v>237.4</v>
      </c>
      <c r="H66" s="88"/>
      <c r="I66" s="87"/>
      <c r="J66" s="87">
        <f t="shared" si="5"/>
        <v>424233.8</v>
      </c>
      <c r="K66" s="80" t="s">
        <v>706</v>
      </c>
      <c r="L66" s="80" t="s">
        <v>707</v>
      </c>
      <c r="M66" s="7"/>
    </row>
    <row r="67" spans="1:13" s="13" customFormat="1" hidden="1" outlineLevel="2" x14ac:dyDescent="0.3">
      <c r="A67" s="75" t="s">
        <v>701</v>
      </c>
      <c r="B67" s="76" t="s">
        <v>980</v>
      </c>
      <c r="C67" s="77" t="s">
        <v>5</v>
      </c>
      <c r="D67" s="77">
        <f>11+1+3.3</f>
        <v>15.3</v>
      </c>
      <c r="E67" s="88"/>
      <c r="F67" s="88"/>
      <c r="G67" s="88">
        <v>152.66999999999999</v>
      </c>
      <c r="H67" s="88"/>
      <c r="I67" s="87"/>
      <c r="J67" s="87">
        <f t="shared" si="5"/>
        <v>2335.8510000000001</v>
      </c>
      <c r="K67" s="80" t="s">
        <v>708</v>
      </c>
      <c r="L67" s="80" t="s">
        <v>707</v>
      </c>
      <c r="M67" s="7"/>
    </row>
    <row r="68" spans="1:13" s="13" customFormat="1" hidden="1" outlineLevel="2" x14ac:dyDescent="0.3">
      <c r="A68" s="75" t="s">
        <v>709</v>
      </c>
      <c r="B68" s="76" t="s">
        <v>981</v>
      </c>
      <c r="C68" s="77" t="s">
        <v>5</v>
      </c>
      <c r="D68" s="77">
        <f>154+199+147+153+165</f>
        <v>818</v>
      </c>
      <c r="E68" s="88"/>
      <c r="F68" s="88"/>
      <c r="G68" s="88">
        <v>213.89</v>
      </c>
      <c r="H68" s="88"/>
      <c r="I68" s="87"/>
      <c r="J68" s="87">
        <f>G68*D68</f>
        <v>174962.02</v>
      </c>
      <c r="K68" s="80" t="s">
        <v>710</v>
      </c>
      <c r="L68" s="80" t="s">
        <v>707</v>
      </c>
      <c r="M68" s="7"/>
    </row>
    <row r="69" spans="1:13" s="13" customFormat="1" ht="29" hidden="1" outlineLevel="2" x14ac:dyDescent="0.3">
      <c r="A69" s="75" t="s">
        <v>711</v>
      </c>
      <c r="B69" s="76" t="s">
        <v>845</v>
      </c>
      <c r="C69" s="77" t="s">
        <v>5</v>
      </c>
      <c r="D69" s="77">
        <v>250</v>
      </c>
      <c r="E69" s="88"/>
      <c r="F69" s="88"/>
      <c r="G69" s="88">
        <v>120.23</v>
      </c>
      <c r="H69" s="88"/>
      <c r="I69" s="87"/>
      <c r="J69" s="87">
        <f>G69*D69</f>
        <v>30057.5</v>
      </c>
      <c r="K69" s="80" t="s">
        <v>843</v>
      </c>
      <c r="L69" s="80" t="s">
        <v>705</v>
      </c>
      <c r="M69" s="7"/>
    </row>
    <row r="70" spans="1:13" s="13" customFormat="1" hidden="1" outlineLevel="1" x14ac:dyDescent="0.3">
      <c r="A70" s="64" t="s">
        <v>57</v>
      </c>
      <c r="B70" s="65" t="s">
        <v>304</v>
      </c>
      <c r="C70" s="66"/>
      <c r="D70" s="64"/>
      <c r="E70" s="67"/>
      <c r="F70" s="67"/>
      <c r="G70" s="67"/>
      <c r="H70" s="67"/>
      <c r="I70" s="67"/>
      <c r="J70" s="104">
        <f>SUM(J71:J74)</f>
        <v>206280.30019999997</v>
      </c>
      <c r="K70" s="67"/>
      <c r="L70" s="67"/>
    </row>
    <row r="71" spans="1:13" s="13" customFormat="1" ht="43.5" hidden="1" outlineLevel="2" x14ac:dyDescent="0.3">
      <c r="A71" s="75" t="s">
        <v>126</v>
      </c>
      <c r="B71" s="76" t="s">
        <v>305</v>
      </c>
      <c r="C71" s="77" t="s">
        <v>5</v>
      </c>
      <c r="D71" s="77">
        <f>(17.5*2+23*3+10.6+3.2*2+3.1*2+3.7*3+6.9*3)*1.8</f>
        <v>286.2</v>
      </c>
      <c r="E71" s="88">
        <v>679.9</v>
      </c>
      <c r="F71" s="88"/>
      <c r="G71" s="88">
        <v>679.9</v>
      </c>
      <c r="H71" s="88"/>
      <c r="I71" s="87"/>
      <c r="J71" s="96">
        <f>G71*D71</f>
        <v>194587.37999999998</v>
      </c>
      <c r="K71" s="80" t="s">
        <v>729</v>
      </c>
      <c r="L71" s="80" t="s">
        <v>707</v>
      </c>
      <c r="M71" s="7"/>
    </row>
    <row r="72" spans="1:13" s="13" customFormat="1" ht="43.5" hidden="1" outlineLevel="2" x14ac:dyDescent="0.3">
      <c r="A72" s="75" t="s">
        <v>127</v>
      </c>
      <c r="B72" s="76" t="s">
        <v>310</v>
      </c>
      <c r="C72" s="77" t="s">
        <v>5</v>
      </c>
      <c r="D72" s="77">
        <f>(0.6*2+0.6+0.45*2+0.5*3)*1.8</f>
        <v>7.5599999999999987</v>
      </c>
      <c r="E72" s="88">
        <v>679.9</v>
      </c>
      <c r="F72" s="88"/>
      <c r="G72" s="88">
        <v>679.9</v>
      </c>
      <c r="H72" s="88"/>
      <c r="I72" s="87"/>
      <c r="J72" s="96">
        <f>G72*D72</f>
        <v>5140.043999999999</v>
      </c>
      <c r="K72" s="80" t="s">
        <v>729</v>
      </c>
      <c r="L72" s="80" t="s">
        <v>707</v>
      </c>
      <c r="M72" s="7"/>
    </row>
    <row r="73" spans="1:13" s="13" customFormat="1" ht="43.5" hidden="1" outlineLevel="2" x14ac:dyDescent="0.3">
      <c r="A73" s="75" t="s">
        <v>128</v>
      </c>
      <c r="B73" s="76" t="s">
        <v>313</v>
      </c>
      <c r="C73" s="77" t="s">
        <v>5</v>
      </c>
      <c r="D73" s="77">
        <f>(6*2+4)*0.29</f>
        <v>4.6399999999999997</v>
      </c>
      <c r="E73" s="88">
        <v>679.9</v>
      </c>
      <c r="F73" s="88"/>
      <c r="G73" s="88">
        <v>679.9</v>
      </c>
      <c r="H73" s="88"/>
      <c r="I73" s="87"/>
      <c r="J73" s="96">
        <f t="shared" ref="J73:J74" si="6">G73*D73</f>
        <v>3154.7359999999999</v>
      </c>
      <c r="K73" s="80" t="s">
        <v>729</v>
      </c>
      <c r="L73" s="80" t="s">
        <v>707</v>
      </c>
      <c r="M73" s="7"/>
    </row>
    <row r="74" spans="1:13" s="13" customFormat="1" ht="29" hidden="1" outlineLevel="2" x14ac:dyDescent="0.3">
      <c r="A74" s="75" t="s">
        <v>312</v>
      </c>
      <c r="B74" s="76" t="s">
        <v>311</v>
      </c>
      <c r="C74" s="77" t="s">
        <v>5</v>
      </c>
      <c r="D74" s="77">
        <f>(15*2+10*3+10+2*3+2*2+3*3+3*3)*0.051</f>
        <v>4.9979999999999993</v>
      </c>
      <c r="E74" s="88">
        <v>679.9</v>
      </c>
      <c r="F74" s="88"/>
      <c r="G74" s="88">
        <v>679.9</v>
      </c>
      <c r="H74" s="88"/>
      <c r="I74" s="87"/>
      <c r="J74" s="96">
        <f t="shared" si="6"/>
        <v>3398.1401999999994</v>
      </c>
      <c r="K74" s="80" t="s">
        <v>729</v>
      </c>
      <c r="L74" s="80" t="s">
        <v>707</v>
      </c>
      <c r="M74" s="7"/>
    </row>
    <row r="75" spans="1:13" s="13" customFormat="1" collapsed="1" x14ac:dyDescent="0.3">
      <c r="A75" s="92">
        <v>5</v>
      </c>
      <c r="B75" s="93" t="s">
        <v>79</v>
      </c>
      <c r="C75" s="94"/>
      <c r="D75" s="92"/>
      <c r="E75" s="95"/>
      <c r="F75" s="95"/>
      <c r="G75" s="95"/>
      <c r="H75" s="95"/>
      <c r="I75" s="95"/>
      <c r="J75" s="95">
        <f>J76+J89+J98</f>
        <v>2047451.9811044999</v>
      </c>
      <c r="K75" s="95"/>
      <c r="L75" s="95"/>
    </row>
    <row r="76" spans="1:13" s="13" customFormat="1" hidden="1" outlineLevel="1" x14ac:dyDescent="0.3">
      <c r="A76" s="64" t="s">
        <v>58</v>
      </c>
      <c r="B76" s="65" t="s">
        <v>220</v>
      </c>
      <c r="C76" s="66"/>
      <c r="D76" s="64"/>
      <c r="E76" s="67"/>
      <c r="F76" s="67"/>
      <c r="G76" s="67"/>
      <c r="H76" s="67"/>
      <c r="I76" s="67"/>
      <c r="J76" s="104">
        <f>SUM(J77:J88)</f>
        <v>1066125.3255999999</v>
      </c>
      <c r="K76" s="67"/>
      <c r="L76" s="67"/>
    </row>
    <row r="77" spans="1:13" s="17" customFormat="1" ht="58" hidden="1" outlineLevel="2" x14ac:dyDescent="0.3">
      <c r="A77" s="75" t="s">
        <v>171</v>
      </c>
      <c r="B77" s="76" t="s">
        <v>412</v>
      </c>
      <c r="C77" s="77" t="s">
        <v>5</v>
      </c>
      <c r="D77" s="77">
        <f>940+1045+840+875+946+D78+D79+D80+D81+D82+D83+D84</f>
        <v>7881</v>
      </c>
      <c r="E77" s="71"/>
      <c r="F77" s="78"/>
      <c r="G77" s="71">
        <v>44.06</v>
      </c>
      <c r="H77" s="71"/>
      <c r="I77" s="72"/>
      <c r="J77" s="72">
        <f>G77*D77</f>
        <v>347236.86000000004</v>
      </c>
      <c r="K77" s="79" t="s">
        <v>560</v>
      </c>
      <c r="L77" s="80" t="s">
        <v>705</v>
      </c>
      <c r="M77" s="46"/>
    </row>
    <row r="78" spans="1:13" hidden="1" outlineLevel="2" x14ac:dyDescent="0.3">
      <c r="A78" s="75" t="s">
        <v>170</v>
      </c>
      <c r="B78" s="76" t="s">
        <v>406</v>
      </c>
      <c r="C78" s="77" t="s">
        <v>5</v>
      </c>
      <c r="D78" s="77">
        <f>577+903+28</f>
        <v>1508</v>
      </c>
      <c r="E78" s="81"/>
      <c r="F78" s="81"/>
      <c r="G78" s="81">
        <v>56.85</v>
      </c>
      <c r="H78" s="81"/>
      <c r="I78" s="82"/>
      <c r="J78" s="82">
        <f>G78*D78</f>
        <v>85729.8</v>
      </c>
      <c r="K78" s="83" t="s">
        <v>561</v>
      </c>
      <c r="L78" s="80" t="s">
        <v>705</v>
      </c>
    </row>
    <row r="79" spans="1:13" hidden="1" outlineLevel="2" x14ac:dyDescent="0.3">
      <c r="A79" s="75" t="s">
        <v>172</v>
      </c>
      <c r="B79" s="76" t="s">
        <v>407</v>
      </c>
      <c r="C79" s="77" t="s">
        <v>5</v>
      </c>
      <c r="D79" s="77">
        <v>45</v>
      </c>
      <c r="E79" s="81"/>
      <c r="F79" s="81"/>
      <c r="G79" s="81">
        <v>56.85</v>
      </c>
      <c r="H79" s="81"/>
      <c r="I79" s="82"/>
      <c r="J79" s="82">
        <f>G79*D79</f>
        <v>2558.25</v>
      </c>
      <c r="K79" s="83" t="s">
        <v>561</v>
      </c>
      <c r="L79" s="80" t="s">
        <v>705</v>
      </c>
    </row>
    <row r="80" spans="1:13" hidden="1" outlineLevel="2" x14ac:dyDescent="0.3">
      <c r="A80" s="75" t="s">
        <v>173</v>
      </c>
      <c r="B80" s="76" t="s">
        <v>408</v>
      </c>
      <c r="C80" s="77" t="s">
        <v>5</v>
      </c>
      <c r="D80" s="77">
        <f>10+27+19+33+30+30</f>
        <v>149</v>
      </c>
      <c r="E80" s="81"/>
      <c r="F80" s="81"/>
      <c r="G80" s="81">
        <v>137.61000000000001</v>
      </c>
      <c r="H80" s="81"/>
      <c r="I80" s="82"/>
      <c r="J80" s="82">
        <f t="shared" ref="J80:J88" si="7">G80*D80</f>
        <v>20503.890000000003</v>
      </c>
      <c r="K80" s="83" t="s">
        <v>562</v>
      </c>
      <c r="L80" s="80" t="s">
        <v>705</v>
      </c>
    </row>
    <row r="81" spans="1:16" ht="29" hidden="1" outlineLevel="2" x14ac:dyDescent="0.3">
      <c r="A81" s="75" t="s">
        <v>174</v>
      </c>
      <c r="B81" s="76" t="s">
        <v>284</v>
      </c>
      <c r="C81" s="77" t="s">
        <v>5</v>
      </c>
      <c r="D81" s="77">
        <f>20+68+8+8+8</f>
        <v>112</v>
      </c>
      <c r="E81" s="81"/>
      <c r="F81" s="81"/>
      <c r="G81" s="81">
        <v>280.89</v>
      </c>
      <c r="H81" s="81"/>
      <c r="I81" s="82"/>
      <c r="J81" s="82">
        <f t="shared" si="7"/>
        <v>31459.68</v>
      </c>
      <c r="K81" s="83" t="s">
        <v>563</v>
      </c>
      <c r="L81" s="80" t="s">
        <v>705</v>
      </c>
    </row>
    <row r="82" spans="1:16" s="13" customFormat="1" ht="29" hidden="1" outlineLevel="2" x14ac:dyDescent="0.3">
      <c r="A82" s="75" t="s">
        <v>175</v>
      </c>
      <c r="B82" s="76" t="s">
        <v>283</v>
      </c>
      <c r="C82" s="77" t="s">
        <v>5</v>
      </c>
      <c r="D82" s="77">
        <f>231+49+54+47+49</f>
        <v>430</v>
      </c>
      <c r="E82" s="81"/>
      <c r="F82" s="81"/>
      <c r="G82" s="81">
        <v>280.89</v>
      </c>
      <c r="H82" s="81"/>
      <c r="I82" s="82"/>
      <c r="J82" s="82">
        <f t="shared" si="7"/>
        <v>120782.7</v>
      </c>
      <c r="K82" s="83" t="s">
        <v>563</v>
      </c>
      <c r="L82" s="80" t="s">
        <v>705</v>
      </c>
    </row>
    <row r="83" spans="1:16" hidden="1" outlineLevel="2" x14ac:dyDescent="0.3">
      <c r="A83" s="75" t="s">
        <v>176</v>
      </c>
      <c r="B83" s="76" t="s">
        <v>793</v>
      </c>
      <c r="C83" s="77" t="s">
        <v>5</v>
      </c>
      <c r="D83" s="77">
        <f>270+64+222+155+154</f>
        <v>865</v>
      </c>
      <c r="E83" s="81"/>
      <c r="F83" s="81"/>
      <c r="G83" s="81">
        <v>481.09</v>
      </c>
      <c r="H83" s="81"/>
      <c r="I83" s="82"/>
      <c r="J83" s="82">
        <f t="shared" si="7"/>
        <v>416142.85</v>
      </c>
      <c r="K83" s="83" t="s">
        <v>564</v>
      </c>
      <c r="L83" s="80" t="s">
        <v>705</v>
      </c>
    </row>
    <row r="84" spans="1:16" hidden="1" outlineLevel="2" x14ac:dyDescent="0.3">
      <c r="A84" s="75" t="s">
        <v>177</v>
      </c>
      <c r="B84" s="76" t="s">
        <v>410</v>
      </c>
      <c r="C84" s="77" t="s">
        <v>5</v>
      </c>
      <c r="D84" s="77">
        <v>126</v>
      </c>
      <c r="E84" s="81"/>
      <c r="F84" s="81"/>
      <c r="G84" s="81">
        <v>191.21</v>
      </c>
      <c r="H84" s="81"/>
      <c r="I84" s="82"/>
      <c r="J84" s="82">
        <f t="shared" si="7"/>
        <v>24092.460000000003</v>
      </c>
      <c r="K84" s="83" t="s">
        <v>565</v>
      </c>
      <c r="L84" s="80" t="s">
        <v>705</v>
      </c>
    </row>
    <row r="85" spans="1:16" hidden="1" outlineLevel="2" x14ac:dyDescent="0.3">
      <c r="A85" s="75" t="s">
        <v>178</v>
      </c>
      <c r="B85" s="76" t="s">
        <v>413</v>
      </c>
      <c r="C85" s="77" t="s">
        <v>5</v>
      </c>
      <c r="D85" s="77">
        <f>0.68+1.82+4+2.24+2.24+0.84</f>
        <v>11.82</v>
      </c>
      <c r="E85" s="81"/>
      <c r="F85" s="81"/>
      <c r="G85" s="81">
        <v>137.61000000000001</v>
      </c>
      <c r="H85" s="81"/>
      <c r="I85" s="82"/>
      <c r="J85" s="82">
        <f t="shared" si="7"/>
        <v>1626.5502000000001</v>
      </c>
      <c r="K85" s="83" t="s">
        <v>562</v>
      </c>
      <c r="L85" s="80" t="s">
        <v>705</v>
      </c>
    </row>
    <row r="86" spans="1:16" ht="29" hidden="1" outlineLevel="2" x14ac:dyDescent="0.3">
      <c r="A86" s="75" t="s">
        <v>409</v>
      </c>
      <c r="B86" s="76" t="s">
        <v>286</v>
      </c>
      <c r="C86" s="77" t="s">
        <v>5</v>
      </c>
      <c r="D86" s="77">
        <f>1.46+3.73+0.75+0.75+0.75</f>
        <v>7.4399999999999995</v>
      </c>
      <c r="E86" s="81"/>
      <c r="F86" s="81"/>
      <c r="G86" s="81">
        <v>280.89</v>
      </c>
      <c r="H86" s="81"/>
      <c r="I86" s="82"/>
      <c r="J86" s="82">
        <f t="shared" si="7"/>
        <v>2089.8215999999998</v>
      </c>
      <c r="K86" s="83" t="s">
        <v>563</v>
      </c>
      <c r="L86" s="80" t="s">
        <v>705</v>
      </c>
    </row>
    <row r="87" spans="1:16" ht="29" hidden="1" outlineLevel="2" x14ac:dyDescent="0.3">
      <c r="A87" s="75" t="s">
        <v>411</v>
      </c>
      <c r="B87" s="76" t="s">
        <v>287</v>
      </c>
      <c r="C87" s="77" t="s">
        <v>5</v>
      </c>
      <c r="D87" s="77">
        <f>17.06+6.58+8.05+6.65+7</f>
        <v>45.34</v>
      </c>
      <c r="E87" s="81"/>
      <c r="F87" s="81"/>
      <c r="G87" s="81">
        <v>280.89</v>
      </c>
      <c r="H87" s="81"/>
      <c r="I87" s="82"/>
      <c r="J87" s="82">
        <f t="shared" si="7"/>
        <v>12735.552600000001</v>
      </c>
      <c r="K87" s="83" t="s">
        <v>563</v>
      </c>
      <c r="L87" s="80" t="s">
        <v>705</v>
      </c>
    </row>
    <row r="88" spans="1:16" ht="29" hidden="1" outlineLevel="2" x14ac:dyDescent="0.3">
      <c r="A88" s="75" t="s">
        <v>414</v>
      </c>
      <c r="B88" s="76" t="s">
        <v>285</v>
      </c>
      <c r="C88" s="77" t="s">
        <v>5</v>
      </c>
      <c r="D88" s="77">
        <f>3.56+2.44+2.96+2.65+3.6</f>
        <v>15.21</v>
      </c>
      <c r="E88" s="81"/>
      <c r="F88" s="81"/>
      <c r="G88" s="84">
        <v>76.72</v>
      </c>
      <c r="H88" s="84"/>
      <c r="I88" s="82"/>
      <c r="J88" s="82">
        <f t="shared" si="7"/>
        <v>1166.9112</v>
      </c>
      <c r="K88" s="83" t="s">
        <v>566</v>
      </c>
      <c r="L88" s="80" t="s">
        <v>705</v>
      </c>
    </row>
    <row r="89" spans="1:16" s="13" customFormat="1" hidden="1" outlineLevel="1" x14ac:dyDescent="0.3">
      <c r="A89" s="64" t="s">
        <v>59</v>
      </c>
      <c r="B89" s="65" t="s">
        <v>916</v>
      </c>
      <c r="C89" s="85"/>
      <c r="D89" s="64"/>
      <c r="E89" s="67"/>
      <c r="F89" s="67"/>
      <c r="G89" s="86"/>
      <c r="H89" s="86"/>
      <c r="I89" s="67"/>
      <c r="J89" s="104">
        <f>SUM(J90:J97)</f>
        <v>0</v>
      </c>
      <c r="K89" s="67"/>
      <c r="L89" s="67"/>
      <c r="N89" s="42"/>
      <c r="O89" s="43"/>
      <c r="P89" s="43"/>
    </row>
    <row r="90" spans="1:16" hidden="1" outlineLevel="2" x14ac:dyDescent="0.3">
      <c r="A90" s="75" t="s">
        <v>195</v>
      </c>
      <c r="B90" s="76" t="s">
        <v>341</v>
      </c>
      <c r="C90" s="77" t="s">
        <v>5</v>
      </c>
      <c r="D90" s="77">
        <f>N90+O90+P90</f>
        <v>0</v>
      </c>
      <c r="E90" s="87"/>
      <c r="F90" s="88"/>
      <c r="G90" s="84">
        <v>65.099999999999994</v>
      </c>
      <c r="H90" s="89"/>
      <c r="I90" s="87"/>
      <c r="J90" s="87">
        <f t="shared" ref="J90:J97" si="8">G90*D90</f>
        <v>0</v>
      </c>
      <c r="K90" s="80" t="s">
        <v>567</v>
      </c>
      <c r="L90" s="80" t="s">
        <v>705</v>
      </c>
      <c r="N90" s="37"/>
      <c r="O90" s="37"/>
      <c r="P90" s="36"/>
    </row>
    <row r="91" spans="1:16" hidden="1" outlineLevel="2" x14ac:dyDescent="0.3">
      <c r="A91" s="75" t="s">
        <v>196</v>
      </c>
      <c r="B91" s="76" t="s">
        <v>343</v>
      </c>
      <c r="C91" s="77" t="s">
        <v>5</v>
      </c>
      <c r="D91" s="77">
        <f>N91+O91+P91</f>
        <v>0</v>
      </c>
      <c r="E91" s="87"/>
      <c r="F91" s="88"/>
      <c r="G91" s="81">
        <v>481.09</v>
      </c>
      <c r="H91" s="89"/>
      <c r="I91" s="87"/>
      <c r="J91" s="82">
        <f t="shared" si="8"/>
        <v>0</v>
      </c>
      <c r="K91" s="83" t="s">
        <v>564</v>
      </c>
      <c r="L91" s="80" t="s">
        <v>705</v>
      </c>
      <c r="N91" s="37"/>
      <c r="O91" s="37"/>
      <c r="P91" s="36"/>
    </row>
    <row r="92" spans="1:16" hidden="1" outlineLevel="2" x14ac:dyDescent="0.3">
      <c r="A92" s="75" t="s">
        <v>197</v>
      </c>
      <c r="B92" s="76" t="s">
        <v>346</v>
      </c>
      <c r="C92" s="77" t="s">
        <v>8</v>
      </c>
      <c r="D92" s="77">
        <f>(N92+O92+P92)*0.2</f>
        <v>0</v>
      </c>
      <c r="E92" s="87"/>
      <c r="F92" s="88"/>
      <c r="G92" s="84">
        <v>640.74</v>
      </c>
      <c r="H92" s="89"/>
      <c r="I92" s="87"/>
      <c r="J92" s="82">
        <f t="shared" si="8"/>
        <v>0</v>
      </c>
      <c r="K92" s="80" t="s">
        <v>671</v>
      </c>
      <c r="L92" s="80" t="s">
        <v>705</v>
      </c>
      <c r="N92" s="37"/>
      <c r="O92" s="37"/>
      <c r="P92" s="36"/>
    </row>
    <row r="93" spans="1:16" hidden="1" outlineLevel="2" x14ac:dyDescent="0.3">
      <c r="A93" s="75" t="s">
        <v>198</v>
      </c>
      <c r="B93" s="76" t="s">
        <v>347</v>
      </c>
      <c r="C93" s="77" t="s">
        <v>5</v>
      </c>
      <c r="D93" s="77">
        <f>N93+O93+P93</f>
        <v>0</v>
      </c>
      <c r="E93" s="87"/>
      <c r="F93" s="88"/>
      <c r="G93" s="84">
        <v>600</v>
      </c>
      <c r="H93" s="90"/>
      <c r="I93" s="87"/>
      <c r="J93" s="87">
        <f t="shared" si="8"/>
        <v>0</v>
      </c>
      <c r="K93" s="80" t="s">
        <v>262</v>
      </c>
      <c r="L93" s="80" t="s">
        <v>262</v>
      </c>
      <c r="N93" s="37"/>
      <c r="O93" s="37"/>
      <c r="P93" s="36"/>
    </row>
    <row r="94" spans="1:16" ht="29" hidden="1" outlineLevel="2" x14ac:dyDescent="0.3">
      <c r="A94" s="75" t="s">
        <v>199</v>
      </c>
      <c r="B94" s="76" t="s">
        <v>342</v>
      </c>
      <c r="C94" s="77" t="s">
        <v>5</v>
      </c>
      <c r="D94" s="77">
        <f>N94+O94+P94</f>
        <v>0</v>
      </c>
      <c r="E94" s="87"/>
      <c r="F94" s="88"/>
      <c r="G94" s="91">
        <v>481.09</v>
      </c>
      <c r="H94" s="89"/>
      <c r="I94" s="87"/>
      <c r="J94" s="87">
        <f t="shared" si="8"/>
        <v>0</v>
      </c>
      <c r="K94" s="80" t="s">
        <v>564</v>
      </c>
      <c r="L94" s="80" t="s">
        <v>705</v>
      </c>
      <c r="N94" s="37"/>
      <c r="O94" s="37"/>
      <c r="P94" s="36"/>
    </row>
    <row r="95" spans="1:16" hidden="1" outlineLevel="2" x14ac:dyDescent="0.3">
      <c r="A95" s="75" t="s">
        <v>398</v>
      </c>
      <c r="B95" s="76" t="s">
        <v>344</v>
      </c>
      <c r="C95" s="77" t="s">
        <v>5</v>
      </c>
      <c r="D95" s="77">
        <f>N95+O95+P95</f>
        <v>0</v>
      </c>
      <c r="E95" s="87"/>
      <c r="F95" s="88"/>
      <c r="G95" s="81">
        <v>481.09</v>
      </c>
      <c r="H95" s="89"/>
      <c r="I95" s="87"/>
      <c r="J95" s="82">
        <f t="shared" si="8"/>
        <v>0</v>
      </c>
      <c r="K95" s="83" t="s">
        <v>564</v>
      </c>
      <c r="L95" s="80" t="s">
        <v>705</v>
      </c>
      <c r="N95" s="37"/>
      <c r="O95" s="37"/>
      <c r="P95" s="36"/>
    </row>
    <row r="96" spans="1:16" ht="29" hidden="1" outlineLevel="2" x14ac:dyDescent="0.3">
      <c r="A96" s="75" t="s">
        <v>399</v>
      </c>
      <c r="B96" s="76" t="s">
        <v>345</v>
      </c>
      <c r="C96" s="77" t="s">
        <v>5</v>
      </c>
      <c r="D96" s="77">
        <f>N96+O96+P96</f>
        <v>0</v>
      </c>
      <c r="E96" s="87"/>
      <c r="F96" s="88"/>
      <c r="G96" s="81">
        <v>481.09</v>
      </c>
      <c r="H96" s="89"/>
      <c r="I96" s="87"/>
      <c r="J96" s="82">
        <f t="shared" si="8"/>
        <v>0</v>
      </c>
      <c r="K96" s="83" t="s">
        <v>564</v>
      </c>
      <c r="L96" s="80" t="s">
        <v>705</v>
      </c>
      <c r="N96" s="37"/>
      <c r="O96" s="37"/>
      <c r="P96" s="36"/>
    </row>
    <row r="97" spans="1:21" ht="29" hidden="1" outlineLevel="2" x14ac:dyDescent="0.3">
      <c r="A97" s="75" t="s">
        <v>400</v>
      </c>
      <c r="B97" s="76" t="s">
        <v>401</v>
      </c>
      <c r="C97" s="77" t="s">
        <v>5</v>
      </c>
      <c r="D97" s="77">
        <f>N97+O97+P97</f>
        <v>0</v>
      </c>
      <c r="E97" s="87">
        <v>146.6</v>
      </c>
      <c r="F97" s="88">
        <v>20.36</v>
      </c>
      <c r="G97" s="89">
        <v>166.96</v>
      </c>
      <c r="H97" s="89"/>
      <c r="I97" s="87"/>
      <c r="J97" s="82">
        <f t="shared" si="8"/>
        <v>0</v>
      </c>
      <c r="K97" s="80" t="s">
        <v>712</v>
      </c>
      <c r="L97" s="80" t="s">
        <v>707</v>
      </c>
      <c r="N97" s="37"/>
      <c r="O97" s="37"/>
      <c r="P97" s="36"/>
    </row>
    <row r="98" spans="1:21" s="13" customFormat="1" hidden="1" outlineLevel="1" x14ac:dyDescent="0.3">
      <c r="A98" s="64" t="s">
        <v>954</v>
      </c>
      <c r="B98" s="65" t="s">
        <v>948</v>
      </c>
      <c r="C98" s="64"/>
      <c r="D98" s="64"/>
      <c r="E98" s="67"/>
      <c r="F98" s="67"/>
      <c r="G98" s="86"/>
      <c r="H98" s="86"/>
      <c r="I98" s="67"/>
      <c r="J98" s="104">
        <f>SUM(J99:J107)</f>
        <v>981326.65550450003</v>
      </c>
      <c r="K98" s="163"/>
      <c r="L98" s="163"/>
    </row>
    <row r="99" spans="1:21" hidden="1" outlineLevel="2" x14ac:dyDescent="0.3">
      <c r="A99" s="75" t="s">
        <v>955</v>
      </c>
      <c r="B99" s="76" t="s">
        <v>960</v>
      </c>
      <c r="C99" s="77" t="s">
        <v>5</v>
      </c>
      <c r="D99" s="77">
        <v>13.97</v>
      </c>
      <c r="E99" s="88"/>
      <c r="F99" s="88"/>
      <c r="G99" s="91">
        <v>235.18</v>
      </c>
      <c r="H99" s="89"/>
      <c r="I99" s="87"/>
      <c r="J99" s="87">
        <f>G99*D99</f>
        <v>3285.4646000000002</v>
      </c>
      <c r="K99" s="80" t="s">
        <v>967</v>
      </c>
      <c r="L99" s="80" t="s">
        <v>705</v>
      </c>
    </row>
    <row r="100" spans="1:21" s="13" customFormat="1" hidden="1" outlineLevel="2" x14ac:dyDescent="0.3">
      <c r="A100" s="75" t="s">
        <v>956</v>
      </c>
      <c r="B100" s="76" t="s">
        <v>949</v>
      </c>
      <c r="C100" s="77" t="s">
        <v>8</v>
      </c>
      <c r="D100" s="77">
        <f>294*0.15*0.35</f>
        <v>15.434999999999999</v>
      </c>
      <c r="E100" s="88"/>
      <c r="F100" s="88"/>
      <c r="G100" s="91">
        <v>602.33000000000004</v>
      </c>
      <c r="H100" s="89"/>
      <c r="I100" s="87"/>
      <c r="J100" s="87">
        <f>G100*D100</f>
        <v>9296.9635500000004</v>
      </c>
      <c r="K100" s="80" t="s">
        <v>950</v>
      </c>
      <c r="L100" s="80" t="s">
        <v>705</v>
      </c>
    </row>
    <row r="101" spans="1:21" s="13" customFormat="1" hidden="1" outlineLevel="2" x14ac:dyDescent="0.3">
      <c r="A101" s="75" t="s">
        <v>957</v>
      </c>
      <c r="B101" s="76" t="s">
        <v>951</v>
      </c>
      <c r="C101" s="77" t="s">
        <v>10</v>
      </c>
      <c r="D101" s="77">
        <v>294</v>
      </c>
      <c r="E101" s="88"/>
      <c r="F101" s="88"/>
      <c r="G101" s="91">
        <v>51.68</v>
      </c>
      <c r="H101" s="90"/>
      <c r="I101" s="87"/>
      <c r="J101" s="87">
        <f>G101*D101</f>
        <v>15193.92</v>
      </c>
      <c r="K101" s="80" t="s">
        <v>952</v>
      </c>
      <c r="L101" s="80" t="s">
        <v>705</v>
      </c>
    </row>
    <row r="102" spans="1:21" hidden="1" outlineLevel="2" x14ac:dyDescent="0.3">
      <c r="A102" s="75" t="s">
        <v>958</v>
      </c>
      <c r="B102" s="76" t="s">
        <v>961</v>
      </c>
      <c r="C102" s="77" t="s">
        <v>10</v>
      </c>
      <c r="D102" s="77">
        <f>5.2*4</f>
        <v>20.8</v>
      </c>
      <c r="E102" s="88"/>
      <c r="F102" s="88"/>
      <c r="G102" s="89">
        <v>36.08</v>
      </c>
      <c r="H102" s="89"/>
      <c r="I102" s="87"/>
      <c r="J102" s="87">
        <f>D102*G102</f>
        <v>750.46399999999994</v>
      </c>
      <c r="K102" s="80" t="s">
        <v>953</v>
      </c>
      <c r="L102" s="80" t="s">
        <v>705</v>
      </c>
    </row>
    <row r="103" spans="1:21" hidden="1" outlineLevel="2" x14ac:dyDescent="0.3">
      <c r="A103" s="75" t="s">
        <v>959</v>
      </c>
      <c r="B103" s="76" t="s">
        <v>973</v>
      </c>
      <c r="C103" s="77" t="s">
        <v>8</v>
      </c>
      <c r="D103" s="77">
        <f>5486.81*0.045</f>
        <v>246.90645000000001</v>
      </c>
      <c r="E103" s="88"/>
      <c r="F103" s="88"/>
      <c r="G103" s="164">
        <v>1532.61</v>
      </c>
      <c r="H103" s="89"/>
      <c r="I103" s="87"/>
      <c r="J103" s="87">
        <f>D103*G103</f>
        <v>378411.29433449998</v>
      </c>
      <c r="K103" s="80" t="s">
        <v>971</v>
      </c>
      <c r="L103" s="80" t="s">
        <v>707</v>
      </c>
    </row>
    <row r="104" spans="1:21" hidden="1" outlineLevel="2" x14ac:dyDescent="0.3">
      <c r="A104" s="75" t="s">
        <v>962</v>
      </c>
      <c r="B104" s="76" t="s">
        <v>972</v>
      </c>
      <c r="C104" s="77" t="s">
        <v>8</v>
      </c>
      <c r="D104" s="77">
        <f>5486.81*0.05</f>
        <v>274.34050000000002</v>
      </c>
      <c r="E104" s="88"/>
      <c r="F104" s="88"/>
      <c r="G104" s="164">
        <v>1367.35</v>
      </c>
      <c r="H104" s="89"/>
      <c r="I104" s="87"/>
      <c r="J104" s="87">
        <f>D104*G104</f>
        <v>375119.48267499998</v>
      </c>
      <c r="K104" s="80" t="s">
        <v>974</v>
      </c>
      <c r="L104" s="80" t="s">
        <v>707</v>
      </c>
    </row>
    <row r="105" spans="1:21" hidden="1" outlineLevel="2" x14ac:dyDescent="0.3">
      <c r="A105" s="75" t="s">
        <v>965</v>
      </c>
      <c r="B105" s="76" t="s">
        <v>963</v>
      </c>
      <c r="C105" s="77" t="s">
        <v>8</v>
      </c>
      <c r="D105" s="77">
        <f>575.81*0.15</f>
        <v>86.371499999999983</v>
      </c>
      <c r="E105" s="88"/>
      <c r="F105" s="88"/>
      <c r="G105" s="91">
        <v>721.67</v>
      </c>
      <c r="H105" s="89"/>
      <c r="I105" s="87"/>
      <c r="J105" s="87">
        <f>G105*D105</f>
        <v>62331.720404999985</v>
      </c>
      <c r="K105" s="80" t="s">
        <v>970</v>
      </c>
      <c r="L105" s="80" t="s">
        <v>705</v>
      </c>
    </row>
    <row r="106" spans="1:21" hidden="1" outlineLevel="2" x14ac:dyDescent="0.3">
      <c r="A106" s="75" t="s">
        <v>966</v>
      </c>
      <c r="B106" s="76" t="s">
        <v>964</v>
      </c>
      <c r="C106" s="77" t="s">
        <v>8</v>
      </c>
      <c r="D106" s="77">
        <f>351.88*0.15</f>
        <v>52.781999999999996</v>
      </c>
      <c r="E106" s="88"/>
      <c r="F106" s="88"/>
      <c r="G106" s="91">
        <v>721.67</v>
      </c>
      <c r="H106" s="89"/>
      <c r="I106" s="87"/>
      <c r="J106" s="87">
        <f>G106*D106</f>
        <v>38091.185939999996</v>
      </c>
      <c r="K106" s="80" t="s">
        <v>970</v>
      </c>
      <c r="L106" s="80" t="s">
        <v>705</v>
      </c>
    </row>
    <row r="107" spans="1:21" hidden="1" outlineLevel="2" x14ac:dyDescent="0.3">
      <c r="A107" s="75" t="s">
        <v>976</v>
      </c>
      <c r="B107" s="76" t="s">
        <v>969</v>
      </c>
      <c r="C107" s="77" t="s">
        <v>10</v>
      </c>
      <c r="D107" s="77">
        <v>238</v>
      </c>
      <c r="E107" s="88"/>
      <c r="F107" s="88"/>
      <c r="G107" s="89">
        <v>415.32</v>
      </c>
      <c r="H107" s="89"/>
      <c r="I107" s="87"/>
      <c r="J107" s="87">
        <f>G107*D107</f>
        <v>98846.16</v>
      </c>
      <c r="K107" s="80" t="s">
        <v>968</v>
      </c>
      <c r="L107" s="80" t="s">
        <v>705</v>
      </c>
    </row>
    <row r="108" spans="1:21" s="13" customFormat="1" collapsed="1" x14ac:dyDescent="0.3">
      <c r="A108" s="92">
        <v>6</v>
      </c>
      <c r="B108" s="93" t="s">
        <v>164</v>
      </c>
      <c r="C108" s="128"/>
      <c r="D108" s="92"/>
      <c r="E108" s="95"/>
      <c r="F108" s="95"/>
      <c r="G108" s="95"/>
      <c r="H108" s="95"/>
      <c r="I108" s="95"/>
      <c r="J108" s="95">
        <f>SUM(J109:J114)</f>
        <v>1414511.2478</v>
      </c>
      <c r="K108" s="95"/>
      <c r="L108" s="95"/>
    </row>
    <row r="109" spans="1:21" s="13" customFormat="1" hidden="1" outlineLevel="2" x14ac:dyDescent="0.3">
      <c r="A109" s="75" t="s">
        <v>60</v>
      </c>
      <c r="B109" s="114" t="s">
        <v>21</v>
      </c>
      <c r="C109" s="77" t="s">
        <v>5</v>
      </c>
      <c r="D109" s="77">
        <f>335+2692+1925+1390+1280+2280+1460+200</f>
        <v>11562</v>
      </c>
      <c r="E109" s="126"/>
      <c r="F109" s="126"/>
      <c r="G109" s="88">
        <v>8.44</v>
      </c>
      <c r="H109" s="88"/>
      <c r="I109" s="88"/>
      <c r="J109" s="88">
        <f t="shared" ref="J109:J114" si="9">G109*D109</f>
        <v>97583.28</v>
      </c>
      <c r="K109" s="127" t="s">
        <v>568</v>
      </c>
      <c r="L109" s="80" t="s">
        <v>705</v>
      </c>
      <c r="M109" s="7"/>
      <c r="N109" s="41"/>
      <c r="O109" s="41"/>
      <c r="P109" s="41"/>
      <c r="Q109" s="41"/>
      <c r="R109" s="41"/>
      <c r="S109" s="41"/>
      <c r="T109" s="41"/>
      <c r="U109" s="41"/>
    </row>
    <row r="110" spans="1:21" s="13" customFormat="1" hidden="1" outlineLevel="2" x14ac:dyDescent="0.3">
      <c r="A110" s="75" t="s">
        <v>61</v>
      </c>
      <c r="B110" s="114" t="s">
        <v>192</v>
      </c>
      <c r="C110" s="77" t="s">
        <v>5</v>
      </c>
      <c r="D110" s="77">
        <f>D109</f>
        <v>11562</v>
      </c>
      <c r="E110" s="126"/>
      <c r="F110" s="126"/>
      <c r="G110" s="88">
        <v>42.82</v>
      </c>
      <c r="H110" s="88"/>
      <c r="I110" s="88"/>
      <c r="J110" s="88">
        <f t="shared" si="9"/>
        <v>495084.84</v>
      </c>
      <c r="K110" s="127" t="s">
        <v>569</v>
      </c>
      <c r="L110" s="80" t="s">
        <v>705</v>
      </c>
      <c r="M110" s="7"/>
      <c r="N110" s="33"/>
      <c r="O110" s="33"/>
      <c r="P110" s="41"/>
      <c r="Q110" s="41"/>
      <c r="R110" s="41"/>
      <c r="S110" s="33"/>
      <c r="T110" s="33"/>
      <c r="U110" s="33"/>
    </row>
    <row r="111" spans="1:21" s="13" customFormat="1" ht="30" hidden="1" customHeight="1" outlineLevel="2" x14ac:dyDescent="0.3">
      <c r="A111" s="75" t="s">
        <v>62</v>
      </c>
      <c r="B111" s="114" t="s">
        <v>193</v>
      </c>
      <c r="C111" s="77" t="s">
        <v>5</v>
      </c>
      <c r="D111" s="77">
        <f>D109</f>
        <v>11562</v>
      </c>
      <c r="E111" s="88"/>
      <c r="F111" s="88"/>
      <c r="G111" s="88">
        <v>31.62</v>
      </c>
      <c r="H111" s="88"/>
      <c r="I111" s="88"/>
      <c r="J111" s="88">
        <f t="shared" si="9"/>
        <v>365590.44</v>
      </c>
      <c r="K111" s="127" t="s">
        <v>570</v>
      </c>
      <c r="L111" s="80" t="s">
        <v>705</v>
      </c>
      <c r="M111" s="7"/>
    </row>
    <row r="112" spans="1:21" s="13" customFormat="1" ht="30" hidden="1" customHeight="1" outlineLevel="2" x14ac:dyDescent="0.3">
      <c r="A112" s="75" t="s">
        <v>277</v>
      </c>
      <c r="B112" s="76" t="s">
        <v>374</v>
      </c>
      <c r="C112" s="77" t="s">
        <v>5</v>
      </c>
      <c r="D112" s="77">
        <f>5*78.94+58.06+16.5+19.1+17.3*3+25.9*4+12.6+28.72*3+39.64*3</f>
        <v>861.54</v>
      </c>
      <c r="E112" s="126"/>
      <c r="F112" s="88"/>
      <c r="G112" s="88">
        <v>78.569999999999993</v>
      </c>
      <c r="H112" s="88"/>
      <c r="I112" s="88"/>
      <c r="J112" s="88">
        <f t="shared" si="9"/>
        <v>67691.197799999994</v>
      </c>
      <c r="K112" s="127" t="s">
        <v>571</v>
      </c>
      <c r="L112" s="80" t="s">
        <v>705</v>
      </c>
      <c r="M112" s="47"/>
    </row>
    <row r="113" spans="1:21" s="13" customFormat="1" hidden="1" outlineLevel="2" x14ac:dyDescent="0.3">
      <c r="A113" s="75" t="s">
        <v>63</v>
      </c>
      <c r="B113" s="76" t="s">
        <v>376</v>
      </c>
      <c r="C113" s="77" t="s">
        <v>5</v>
      </c>
      <c r="D113" s="77">
        <f>60*12.9</f>
        <v>774</v>
      </c>
      <c r="E113" s="88"/>
      <c r="F113" s="88"/>
      <c r="G113" s="88">
        <v>185.96</v>
      </c>
      <c r="H113" s="88"/>
      <c r="I113" s="88"/>
      <c r="J113" s="88">
        <f t="shared" si="9"/>
        <v>143933.04</v>
      </c>
      <c r="K113" s="127" t="s">
        <v>572</v>
      </c>
      <c r="L113" s="80" t="s">
        <v>705</v>
      </c>
      <c r="N113" s="41"/>
      <c r="O113" s="41"/>
      <c r="P113" s="41"/>
      <c r="Q113" s="41"/>
      <c r="R113" s="41"/>
      <c r="S113" s="41"/>
      <c r="T113" s="41"/>
      <c r="U113" s="41"/>
    </row>
    <row r="114" spans="1:21" s="13" customFormat="1" ht="29" hidden="1" outlineLevel="2" x14ac:dyDescent="0.3">
      <c r="A114" s="75" t="s">
        <v>64</v>
      </c>
      <c r="B114" s="76" t="s">
        <v>375</v>
      </c>
      <c r="C114" s="77" t="s">
        <v>22</v>
      </c>
      <c r="D114" s="77">
        <f>1829+2005+1362+1492+2480+137</f>
        <v>9305</v>
      </c>
      <c r="E114" s="88"/>
      <c r="F114" s="88"/>
      <c r="G114" s="88">
        <v>26.29</v>
      </c>
      <c r="H114" s="88"/>
      <c r="I114" s="88"/>
      <c r="J114" s="88">
        <f t="shared" si="9"/>
        <v>244628.44999999998</v>
      </c>
      <c r="K114" s="127" t="s">
        <v>573</v>
      </c>
      <c r="L114" s="80" t="s">
        <v>705</v>
      </c>
      <c r="M114" s="7"/>
      <c r="N114" s="33"/>
      <c r="O114" s="33"/>
      <c r="P114" s="41"/>
      <c r="Q114" s="41"/>
      <c r="R114" s="41"/>
      <c r="S114" s="33"/>
      <c r="T114" s="33"/>
      <c r="U114" s="33"/>
    </row>
    <row r="115" spans="1:21" s="15" customFormat="1" collapsed="1" x14ac:dyDescent="0.3">
      <c r="A115" s="92">
        <v>7</v>
      </c>
      <c r="B115" s="93" t="s">
        <v>168</v>
      </c>
      <c r="C115" s="128"/>
      <c r="D115" s="92"/>
      <c r="E115" s="95"/>
      <c r="F115" s="95"/>
      <c r="G115" s="95"/>
      <c r="H115" s="95"/>
      <c r="I115" s="95"/>
      <c r="J115" s="95">
        <f>SUM(J116:J125)</f>
        <v>940893.24280000001</v>
      </c>
      <c r="K115" s="95"/>
      <c r="L115" s="95"/>
    </row>
    <row r="116" spans="1:21" s="17" customFormat="1" hidden="1" outlineLevel="2" x14ac:dyDescent="0.3">
      <c r="A116" s="75" t="s">
        <v>365</v>
      </c>
      <c r="B116" s="76" t="s">
        <v>848</v>
      </c>
      <c r="C116" s="77" t="s">
        <v>5</v>
      </c>
      <c r="D116" s="77">
        <v>36</v>
      </c>
      <c r="E116" s="88"/>
      <c r="F116" s="88"/>
      <c r="G116" s="88">
        <v>26.29</v>
      </c>
      <c r="H116" s="88"/>
      <c r="I116" s="88"/>
      <c r="J116" s="88">
        <f>G116*D116</f>
        <v>946.43999999999994</v>
      </c>
      <c r="K116" s="127" t="s">
        <v>573</v>
      </c>
      <c r="L116" s="80" t="s">
        <v>705</v>
      </c>
    </row>
    <row r="117" spans="1:21" s="13" customFormat="1" ht="29" hidden="1" outlineLevel="2" x14ac:dyDescent="0.3">
      <c r="A117" s="75" t="s">
        <v>366</v>
      </c>
      <c r="B117" s="76" t="s">
        <v>358</v>
      </c>
      <c r="C117" s="77" t="s">
        <v>5</v>
      </c>
      <c r="D117" s="77">
        <f>526.56+74.84+211.03+670.04-177.12</f>
        <v>1305.3499999999999</v>
      </c>
      <c r="E117" s="88"/>
      <c r="F117" s="88"/>
      <c r="G117" s="88">
        <v>26.29</v>
      </c>
      <c r="H117" s="88"/>
      <c r="I117" s="88"/>
      <c r="J117" s="88">
        <f t="shared" ref="J117:J123" si="10">G117*D117</f>
        <v>34317.6515</v>
      </c>
      <c r="K117" s="127" t="s">
        <v>573</v>
      </c>
      <c r="L117" s="80" t="s">
        <v>705</v>
      </c>
      <c r="M117" s="7"/>
    </row>
    <row r="118" spans="1:21" s="13" customFormat="1" ht="29" hidden="1" outlineLevel="2" x14ac:dyDescent="0.3">
      <c r="A118" s="75" t="s">
        <v>367</v>
      </c>
      <c r="B118" s="76" t="s">
        <v>359</v>
      </c>
      <c r="C118" s="77" t="s">
        <v>5</v>
      </c>
      <c r="D118" s="77">
        <f>50+73</f>
        <v>123</v>
      </c>
      <c r="E118" s="88"/>
      <c r="F118" s="88"/>
      <c r="G118" s="88">
        <v>26.29</v>
      </c>
      <c r="H118" s="88"/>
      <c r="I118" s="88"/>
      <c r="J118" s="88">
        <f t="shared" si="10"/>
        <v>3233.67</v>
      </c>
      <c r="K118" s="127" t="s">
        <v>573</v>
      </c>
      <c r="L118" s="80" t="s">
        <v>705</v>
      </c>
    </row>
    <row r="119" spans="1:21" s="13" customFormat="1" ht="29" hidden="1" outlineLevel="2" x14ac:dyDescent="0.3">
      <c r="A119" s="75" t="s">
        <v>368</v>
      </c>
      <c r="B119" s="76" t="s">
        <v>360</v>
      </c>
      <c r="C119" s="77" t="s">
        <v>5</v>
      </c>
      <c r="D119" s="77">
        <f>16.26+2.48+31.32+0.9+8.42+4.7+10+9.1+3.15+8.81</f>
        <v>95.14</v>
      </c>
      <c r="E119" s="88"/>
      <c r="F119" s="88"/>
      <c r="G119" s="88">
        <v>26.29</v>
      </c>
      <c r="H119" s="88"/>
      <c r="I119" s="88"/>
      <c r="J119" s="88">
        <f t="shared" si="10"/>
        <v>2501.2305999999999</v>
      </c>
      <c r="K119" s="127" t="s">
        <v>573</v>
      </c>
      <c r="L119" s="80" t="s">
        <v>705</v>
      </c>
      <c r="M119" s="23"/>
    </row>
    <row r="120" spans="1:21" s="13" customFormat="1" ht="29" hidden="1" outlineLevel="2" x14ac:dyDescent="0.3">
      <c r="A120" s="75" t="s">
        <v>369</v>
      </c>
      <c r="B120" s="76" t="s">
        <v>361</v>
      </c>
      <c r="C120" s="77" t="s">
        <v>5</v>
      </c>
      <c r="D120" s="77">
        <f>25.45+50.25+126.76+14.57+11.74+15.53+11.32+2.88</f>
        <v>258.5</v>
      </c>
      <c r="E120" s="88"/>
      <c r="F120" s="88"/>
      <c r="G120" s="88">
        <v>26.29</v>
      </c>
      <c r="H120" s="88"/>
      <c r="I120" s="88"/>
      <c r="J120" s="88">
        <f t="shared" si="10"/>
        <v>6795.9650000000001</v>
      </c>
      <c r="K120" s="127" t="s">
        <v>573</v>
      </c>
      <c r="L120" s="80" t="s">
        <v>705</v>
      </c>
    </row>
    <row r="121" spans="1:21" s="13" customFormat="1" ht="29" hidden="1" outlineLevel="2" x14ac:dyDescent="0.3">
      <c r="A121" s="75" t="s">
        <v>370</v>
      </c>
      <c r="B121" s="76" t="s">
        <v>362</v>
      </c>
      <c r="C121" s="77" t="s">
        <v>5</v>
      </c>
      <c r="D121" s="77">
        <f>4.7+7.05+17.05</f>
        <v>28.8</v>
      </c>
      <c r="E121" s="88"/>
      <c r="F121" s="88"/>
      <c r="G121" s="88">
        <v>26.29</v>
      </c>
      <c r="H121" s="88"/>
      <c r="I121" s="88"/>
      <c r="J121" s="88">
        <f t="shared" si="10"/>
        <v>757.15200000000004</v>
      </c>
      <c r="K121" s="127" t="s">
        <v>573</v>
      </c>
      <c r="L121" s="80" t="s">
        <v>705</v>
      </c>
    </row>
    <row r="122" spans="1:21" s="13" customFormat="1" ht="29" hidden="1" outlineLevel="2" x14ac:dyDescent="0.3">
      <c r="A122" s="75" t="s">
        <v>371</v>
      </c>
      <c r="B122" s="76" t="s">
        <v>363</v>
      </c>
      <c r="C122" s="77" t="s">
        <v>5</v>
      </c>
      <c r="D122" s="77">
        <f>770.06+17.53+25.45</f>
        <v>813.04</v>
      </c>
      <c r="E122" s="88"/>
      <c r="F122" s="88"/>
      <c r="G122" s="88">
        <v>26.29</v>
      </c>
      <c r="H122" s="88"/>
      <c r="I122" s="88"/>
      <c r="J122" s="88">
        <f t="shared" si="10"/>
        <v>21374.821599999999</v>
      </c>
      <c r="K122" s="127" t="s">
        <v>573</v>
      </c>
      <c r="L122" s="80" t="s">
        <v>705</v>
      </c>
    </row>
    <row r="123" spans="1:21" s="13" customFormat="1" ht="43.5" hidden="1" outlineLevel="2" x14ac:dyDescent="0.3">
      <c r="A123" s="75" t="s">
        <v>372</v>
      </c>
      <c r="B123" s="76" t="s">
        <v>849</v>
      </c>
      <c r="C123" s="77" t="s">
        <v>5</v>
      </c>
      <c r="D123" s="77">
        <f>70.3+11.34*5+67.55+5.1*4+10.2*16+6.48*2+27.98+68.46+13.56*15+25.5+106+92.61+15.56*15+11.04*3+8.94+3.18*4+3.66*4+4.14*2+4.62*4+5.1*2+6.02*16+9.52+8.96*4+8.4*2+1.12*4+0.6+2*4+1.4+2.7*5+3.24*2+3.72*4+4.2*2+4.7*4+5.16*4+17.85+30</f>
        <v>1558.3500000000001</v>
      </c>
      <c r="E123" s="88"/>
      <c r="F123" s="88"/>
      <c r="G123" s="88">
        <v>498</v>
      </c>
      <c r="H123" s="88"/>
      <c r="I123" s="88"/>
      <c r="J123" s="88">
        <f t="shared" si="10"/>
        <v>776058.3</v>
      </c>
      <c r="K123" s="127" t="s">
        <v>847</v>
      </c>
      <c r="L123" s="127" t="s">
        <v>705</v>
      </c>
      <c r="M123" s="7"/>
    </row>
    <row r="124" spans="1:21" s="13" customFormat="1" ht="29" hidden="1" outlineLevel="2" x14ac:dyDescent="0.3">
      <c r="A124" s="75" t="s">
        <v>373</v>
      </c>
      <c r="B124" s="76" t="s">
        <v>364</v>
      </c>
      <c r="C124" s="77" t="s">
        <v>5</v>
      </c>
      <c r="D124" s="77">
        <v>50.3</v>
      </c>
      <c r="E124" s="88"/>
      <c r="F124" s="88"/>
      <c r="G124" s="88">
        <v>132</v>
      </c>
      <c r="H124" s="88"/>
      <c r="I124" s="88"/>
      <c r="J124" s="88">
        <f>G124*D124</f>
        <v>6639.5999999999995</v>
      </c>
      <c r="K124" s="80" t="s">
        <v>262</v>
      </c>
      <c r="L124" s="80" t="s">
        <v>262</v>
      </c>
      <c r="M124" s="7"/>
    </row>
    <row r="125" spans="1:21" s="13" customFormat="1" hidden="1" outlineLevel="2" x14ac:dyDescent="0.3">
      <c r="A125" s="75" t="s">
        <v>698</v>
      </c>
      <c r="B125" s="76" t="s">
        <v>702</v>
      </c>
      <c r="C125" s="77" t="s">
        <v>5</v>
      </c>
      <c r="D125" s="77">
        <f>2291.59+501.6+17.1+364.8+182.4</f>
        <v>3357.4900000000002</v>
      </c>
      <c r="E125" s="88"/>
      <c r="F125" s="88"/>
      <c r="G125" s="88">
        <v>26.29</v>
      </c>
      <c r="H125" s="88"/>
      <c r="I125" s="88"/>
      <c r="J125" s="88">
        <f t="shared" ref="J125" si="11">G125*D125</f>
        <v>88268.412100000001</v>
      </c>
      <c r="K125" s="127" t="s">
        <v>573</v>
      </c>
      <c r="L125" s="80" t="s">
        <v>705</v>
      </c>
      <c r="M125" s="7"/>
    </row>
    <row r="126" spans="1:21" s="13" customFormat="1" collapsed="1" x14ac:dyDescent="0.3">
      <c r="A126" s="92">
        <v>8</v>
      </c>
      <c r="B126" s="93" t="s">
        <v>76</v>
      </c>
      <c r="C126" s="128"/>
      <c r="D126" s="94"/>
      <c r="E126" s="95"/>
      <c r="F126" s="95"/>
      <c r="G126" s="95"/>
      <c r="H126" s="95"/>
      <c r="I126" s="95"/>
      <c r="J126" s="95">
        <f>SUM(J127:J133)</f>
        <v>454799.75449999998</v>
      </c>
      <c r="K126" s="95"/>
      <c r="L126" s="95"/>
    </row>
    <row r="127" spans="1:21" s="17" customFormat="1" outlineLevel="2" x14ac:dyDescent="0.3">
      <c r="A127" s="75" t="s">
        <v>65</v>
      </c>
      <c r="B127" s="76" t="s">
        <v>21</v>
      </c>
      <c r="C127" s="77" t="s">
        <v>5</v>
      </c>
      <c r="D127" s="77">
        <f>D130</f>
        <v>235.50000000000003</v>
      </c>
      <c r="E127" s="99"/>
      <c r="F127" s="99"/>
      <c r="G127" s="88">
        <v>16.39</v>
      </c>
      <c r="H127" s="88"/>
      <c r="I127" s="87"/>
      <c r="J127" s="87">
        <f t="shared" ref="J127:J133" si="12">G127*D127</f>
        <v>3859.8450000000007</v>
      </c>
      <c r="K127" s="80" t="s">
        <v>574</v>
      </c>
      <c r="L127" s="80" t="s">
        <v>705</v>
      </c>
      <c r="M127" s="7"/>
    </row>
    <row r="128" spans="1:21" s="17" customFormat="1" outlineLevel="2" x14ac:dyDescent="0.3">
      <c r="A128" s="75" t="s">
        <v>66</v>
      </c>
      <c r="B128" s="76" t="s">
        <v>192</v>
      </c>
      <c r="C128" s="77" t="s">
        <v>5</v>
      </c>
      <c r="D128" s="77">
        <f>D130</f>
        <v>235.50000000000003</v>
      </c>
      <c r="E128" s="99"/>
      <c r="F128" s="99"/>
      <c r="G128" s="88">
        <v>46.19</v>
      </c>
      <c r="H128" s="88"/>
      <c r="I128" s="87"/>
      <c r="J128" s="87">
        <f t="shared" si="12"/>
        <v>10877.745000000001</v>
      </c>
      <c r="K128" s="80" t="s">
        <v>575</v>
      </c>
      <c r="L128" s="80" t="s">
        <v>705</v>
      </c>
      <c r="M128" s="7"/>
    </row>
    <row r="129" spans="1:13" s="17" customFormat="1" ht="30" customHeight="1" outlineLevel="2" x14ac:dyDescent="0.3">
      <c r="A129" s="75" t="s">
        <v>67</v>
      </c>
      <c r="B129" s="76" t="s">
        <v>193</v>
      </c>
      <c r="C129" s="77" t="s">
        <v>5</v>
      </c>
      <c r="D129" s="77">
        <f>D130</f>
        <v>235.50000000000003</v>
      </c>
      <c r="E129" s="99"/>
      <c r="F129" s="99"/>
      <c r="G129" s="88">
        <v>34.869999999999997</v>
      </c>
      <c r="H129" s="88"/>
      <c r="I129" s="87"/>
      <c r="J129" s="87">
        <f t="shared" si="12"/>
        <v>8211.8850000000002</v>
      </c>
      <c r="K129" s="80" t="s">
        <v>576</v>
      </c>
      <c r="L129" s="80" t="s">
        <v>705</v>
      </c>
      <c r="M129" s="7"/>
    </row>
    <row r="130" spans="1:13" s="13" customFormat="1" outlineLevel="2" x14ac:dyDescent="0.3">
      <c r="A130" s="75" t="s">
        <v>144</v>
      </c>
      <c r="B130" s="76" t="s">
        <v>548</v>
      </c>
      <c r="C130" s="77" t="s">
        <v>23</v>
      </c>
      <c r="D130" s="77">
        <f>7.1+12.35+21.25+40+10.7+20.15+33.6+17.05+24+20.3+29</f>
        <v>235.50000000000003</v>
      </c>
      <c r="E130" s="99"/>
      <c r="F130" s="99"/>
      <c r="G130" s="88">
        <v>26.29</v>
      </c>
      <c r="H130" s="88"/>
      <c r="I130" s="87"/>
      <c r="J130" s="87">
        <f t="shared" si="12"/>
        <v>6191.295000000001</v>
      </c>
      <c r="K130" s="80" t="s">
        <v>573</v>
      </c>
      <c r="L130" s="80" t="s">
        <v>705</v>
      </c>
      <c r="M130" s="7"/>
    </row>
    <row r="131" spans="1:13" s="13" customFormat="1" ht="29" outlineLevel="2" x14ac:dyDescent="0.3">
      <c r="A131" s="75" t="s">
        <v>314</v>
      </c>
      <c r="B131" s="76" t="s">
        <v>549</v>
      </c>
      <c r="C131" s="77" t="s">
        <v>5</v>
      </c>
      <c r="D131" s="77">
        <f>45+195+50+60+55+55+25+270+115+120+205+920+1050</f>
        <v>3165</v>
      </c>
      <c r="E131" s="99"/>
      <c r="F131" s="99"/>
      <c r="G131" s="88">
        <v>92.77</v>
      </c>
      <c r="H131" s="88"/>
      <c r="I131" s="87"/>
      <c r="J131" s="87">
        <f t="shared" si="12"/>
        <v>293617.05</v>
      </c>
      <c r="K131" s="80" t="s">
        <v>577</v>
      </c>
      <c r="L131" s="80" t="s">
        <v>705</v>
      </c>
      <c r="M131" s="7"/>
    </row>
    <row r="132" spans="1:13" s="13" customFormat="1" ht="43.5" outlineLevel="2" x14ac:dyDescent="0.3">
      <c r="A132" s="75" t="s">
        <v>315</v>
      </c>
      <c r="B132" s="76" t="s">
        <v>853</v>
      </c>
      <c r="C132" s="77" t="s">
        <v>5</v>
      </c>
      <c r="D132" s="77">
        <f>60+106</f>
        <v>166</v>
      </c>
      <c r="E132" s="99"/>
      <c r="F132" s="99"/>
      <c r="G132" s="88">
        <v>498</v>
      </c>
      <c r="H132" s="88"/>
      <c r="I132" s="87"/>
      <c r="J132" s="87">
        <f t="shared" si="12"/>
        <v>82668</v>
      </c>
      <c r="K132" s="127" t="s">
        <v>847</v>
      </c>
      <c r="L132" s="127" t="s">
        <v>705</v>
      </c>
      <c r="M132" s="7"/>
    </row>
    <row r="133" spans="1:13" s="13" customFormat="1" ht="43.5" outlineLevel="2" x14ac:dyDescent="0.3">
      <c r="A133" s="75" t="s">
        <v>699</v>
      </c>
      <c r="B133" s="76" t="s">
        <v>700</v>
      </c>
      <c r="C133" s="77" t="s">
        <v>5</v>
      </c>
      <c r="D133" s="77">
        <v>1878.05</v>
      </c>
      <c r="E133" s="99"/>
      <c r="F133" s="99"/>
      <c r="G133" s="88">
        <v>26.29</v>
      </c>
      <c r="H133" s="88"/>
      <c r="I133" s="87"/>
      <c r="J133" s="87">
        <f t="shared" si="12"/>
        <v>49373.934499999996</v>
      </c>
      <c r="K133" s="80" t="s">
        <v>573</v>
      </c>
      <c r="L133" s="80" t="s">
        <v>705</v>
      </c>
      <c r="M133" s="7"/>
    </row>
    <row r="134" spans="1:13" s="13" customFormat="1" x14ac:dyDescent="0.3">
      <c r="A134" s="92">
        <v>9</v>
      </c>
      <c r="B134" s="93" t="s">
        <v>447</v>
      </c>
      <c r="C134" s="94"/>
      <c r="D134" s="92"/>
      <c r="E134" s="95"/>
      <c r="F134" s="95"/>
      <c r="G134" s="95"/>
      <c r="H134" s="95"/>
      <c r="I134" s="95"/>
      <c r="J134" s="95">
        <f>J135+J151+J157+J180</f>
        <v>2667645.0393600003</v>
      </c>
      <c r="K134" s="95"/>
      <c r="L134" s="95"/>
    </row>
    <row r="135" spans="1:13" s="13" customFormat="1" hidden="1" outlineLevel="1" x14ac:dyDescent="0.3">
      <c r="A135" s="64" t="s">
        <v>377</v>
      </c>
      <c r="B135" s="65" t="s">
        <v>397</v>
      </c>
      <c r="C135" s="108"/>
      <c r="D135" s="66"/>
      <c r="E135" s="67"/>
      <c r="F135" s="67"/>
      <c r="G135" s="67"/>
      <c r="H135" s="67"/>
      <c r="I135" s="67"/>
      <c r="J135" s="104">
        <f>SUM(J136:J150)</f>
        <v>1912206.9762500001</v>
      </c>
      <c r="K135" s="67"/>
      <c r="L135" s="67"/>
    </row>
    <row r="136" spans="1:13" s="13" customFormat="1" ht="29" hidden="1" outlineLevel="2" x14ac:dyDescent="0.3">
      <c r="A136" s="75" t="s">
        <v>378</v>
      </c>
      <c r="B136" s="76" t="s">
        <v>432</v>
      </c>
      <c r="C136" s="77" t="s">
        <v>5</v>
      </c>
      <c r="D136" s="77">
        <f>1*0.8*2.1</f>
        <v>1.6800000000000002</v>
      </c>
      <c r="E136" s="99"/>
      <c r="F136" s="99"/>
      <c r="G136" s="88">
        <v>1018.11</v>
      </c>
      <c r="H136" s="88"/>
      <c r="I136" s="87"/>
      <c r="J136" s="87">
        <f t="shared" ref="J136:J148" si="13">G136*D136</f>
        <v>1710.4248000000002</v>
      </c>
      <c r="K136" s="80" t="s">
        <v>579</v>
      </c>
      <c r="L136" s="80" t="s">
        <v>705</v>
      </c>
    </row>
    <row r="137" spans="1:13" s="13" customFormat="1" ht="29" hidden="1" outlineLevel="2" x14ac:dyDescent="0.3">
      <c r="A137" s="75" t="s">
        <v>379</v>
      </c>
      <c r="B137" s="76" t="s">
        <v>433</v>
      </c>
      <c r="C137" s="77" t="s">
        <v>5</v>
      </c>
      <c r="D137" s="77">
        <f>27*1.6*3.25</f>
        <v>140.4</v>
      </c>
      <c r="E137" s="99"/>
      <c r="F137" s="99"/>
      <c r="G137" s="88">
        <v>1094.77</v>
      </c>
      <c r="H137" s="88"/>
      <c r="I137" s="87"/>
      <c r="J137" s="87">
        <f t="shared" si="13"/>
        <v>153705.70800000001</v>
      </c>
      <c r="K137" s="80" t="s">
        <v>581</v>
      </c>
      <c r="L137" s="80" t="s">
        <v>705</v>
      </c>
      <c r="M137" s="7"/>
    </row>
    <row r="138" spans="1:13" s="13" customFormat="1" ht="29" hidden="1" outlineLevel="2" x14ac:dyDescent="0.3">
      <c r="A138" s="75" t="s">
        <v>380</v>
      </c>
      <c r="B138" s="76" t="s">
        <v>673</v>
      </c>
      <c r="C138" s="77" t="s">
        <v>5</v>
      </c>
      <c r="D138" s="77">
        <f>1*(1.15*2.2+3.45*1.5)</f>
        <v>7.7050000000000001</v>
      </c>
      <c r="E138" s="99"/>
      <c r="F138" s="99"/>
      <c r="G138" s="88">
        <f>1094.77+755.09</f>
        <v>1849.8600000000001</v>
      </c>
      <c r="H138" s="88"/>
      <c r="I138" s="87"/>
      <c r="J138" s="96">
        <f t="shared" si="13"/>
        <v>14253.171300000002</v>
      </c>
      <c r="K138" s="109" t="s">
        <v>672</v>
      </c>
      <c r="L138" s="80" t="s">
        <v>705</v>
      </c>
      <c r="M138" s="7"/>
    </row>
    <row r="139" spans="1:13" s="13" customFormat="1" ht="29" hidden="1" outlineLevel="2" x14ac:dyDescent="0.3">
      <c r="A139" s="75" t="s">
        <v>381</v>
      </c>
      <c r="B139" s="76" t="s">
        <v>468</v>
      </c>
      <c r="C139" s="77" t="s">
        <v>5</v>
      </c>
      <c r="D139" s="77">
        <f>1*0.65*2.1</f>
        <v>1.3650000000000002</v>
      </c>
      <c r="E139" s="99"/>
      <c r="F139" s="99"/>
      <c r="G139" s="88">
        <v>1018.11</v>
      </c>
      <c r="H139" s="88"/>
      <c r="I139" s="87"/>
      <c r="J139" s="87">
        <f t="shared" si="13"/>
        <v>1389.7201500000003</v>
      </c>
      <c r="K139" s="80" t="s">
        <v>579</v>
      </c>
      <c r="L139" s="80" t="s">
        <v>705</v>
      </c>
    </row>
    <row r="140" spans="1:13" s="13" customFormat="1" ht="29" hidden="1" outlineLevel="2" x14ac:dyDescent="0.3">
      <c r="A140" s="75" t="s">
        <v>382</v>
      </c>
      <c r="B140" s="76" t="s">
        <v>467</v>
      </c>
      <c r="C140" s="77" t="s">
        <v>5</v>
      </c>
      <c r="D140" s="77">
        <f>3*3.6*2.1</f>
        <v>22.680000000000003</v>
      </c>
      <c r="E140" s="99"/>
      <c r="F140" s="99"/>
      <c r="G140" s="88">
        <v>1094.77</v>
      </c>
      <c r="H140" s="88"/>
      <c r="I140" s="87"/>
      <c r="J140" s="87">
        <f t="shared" si="13"/>
        <v>24829.383600000005</v>
      </c>
      <c r="K140" s="80" t="s">
        <v>581</v>
      </c>
      <c r="L140" s="80" t="s">
        <v>705</v>
      </c>
      <c r="M140" s="7"/>
    </row>
    <row r="141" spans="1:13" s="13" customFormat="1" ht="29" hidden="1" outlineLevel="2" x14ac:dyDescent="0.3">
      <c r="A141" s="75" t="s">
        <v>429</v>
      </c>
      <c r="B141" s="76" t="s">
        <v>455</v>
      </c>
      <c r="C141" s="77" t="s">
        <v>5</v>
      </c>
      <c r="D141" s="77">
        <f>5*0.9*0.5</f>
        <v>2.25</v>
      </c>
      <c r="E141" s="99"/>
      <c r="F141" s="99"/>
      <c r="G141" s="88">
        <v>913.63</v>
      </c>
      <c r="H141" s="88"/>
      <c r="I141" s="87"/>
      <c r="J141" s="96">
        <f t="shared" si="13"/>
        <v>2055.6675</v>
      </c>
      <c r="K141" s="80" t="s">
        <v>674</v>
      </c>
      <c r="L141" s="80" t="s">
        <v>705</v>
      </c>
    </row>
    <row r="142" spans="1:13" s="13" customFormat="1" ht="29" hidden="1" outlineLevel="2" x14ac:dyDescent="0.3">
      <c r="A142" s="75" t="s">
        <v>430</v>
      </c>
      <c r="B142" s="76" t="s">
        <v>679</v>
      </c>
      <c r="C142" s="77" t="s">
        <v>5</v>
      </c>
      <c r="D142" s="77">
        <f>3*0.5*0.5</f>
        <v>0.75</v>
      </c>
      <c r="E142" s="99"/>
      <c r="F142" s="99"/>
      <c r="G142" s="88">
        <v>913.63</v>
      </c>
      <c r="H142" s="88"/>
      <c r="I142" s="87"/>
      <c r="J142" s="96">
        <f t="shared" si="13"/>
        <v>685.22249999999997</v>
      </c>
      <c r="K142" s="80" t="s">
        <v>674</v>
      </c>
      <c r="L142" s="80" t="s">
        <v>705</v>
      </c>
    </row>
    <row r="143" spans="1:13" s="13" customFormat="1" ht="29" hidden="1" outlineLevel="2" x14ac:dyDescent="0.3">
      <c r="A143" s="75" t="s">
        <v>799</v>
      </c>
      <c r="B143" s="76" t="s">
        <v>469</v>
      </c>
      <c r="C143" s="77" t="s">
        <v>5</v>
      </c>
      <c r="D143" s="77">
        <f>1*1.5*1</f>
        <v>1.5</v>
      </c>
      <c r="E143" s="99"/>
      <c r="F143" s="99"/>
      <c r="G143" s="88">
        <v>913.63</v>
      </c>
      <c r="H143" s="88"/>
      <c r="I143" s="87"/>
      <c r="J143" s="96">
        <f t="shared" si="13"/>
        <v>1370.4449999999999</v>
      </c>
      <c r="K143" s="80" t="s">
        <v>674</v>
      </c>
      <c r="L143" s="80" t="s">
        <v>705</v>
      </c>
    </row>
    <row r="144" spans="1:13" s="13" customFormat="1" ht="29" hidden="1" outlineLevel="2" x14ac:dyDescent="0.3">
      <c r="A144" s="75" t="s">
        <v>431</v>
      </c>
      <c r="B144" s="76" t="s">
        <v>675</v>
      </c>
      <c r="C144" s="77" t="s">
        <v>5</v>
      </c>
      <c r="D144" s="77">
        <f>28*2.4*2</f>
        <v>134.4</v>
      </c>
      <c r="E144" s="99"/>
      <c r="F144" s="99"/>
      <c r="G144" s="88">
        <v>1088.8399999999999</v>
      </c>
      <c r="H144" s="88"/>
      <c r="I144" s="87"/>
      <c r="J144" s="87">
        <f t="shared" si="13"/>
        <v>146340.09599999999</v>
      </c>
      <c r="K144" s="80" t="s">
        <v>580</v>
      </c>
      <c r="L144" s="80" t="s">
        <v>705</v>
      </c>
    </row>
    <row r="145" spans="1:13" s="13" customFormat="1" ht="29" hidden="1" outlineLevel="2" x14ac:dyDescent="0.3">
      <c r="A145" s="75" t="s">
        <v>454</v>
      </c>
      <c r="B145" s="76" t="s">
        <v>676</v>
      </c>
      <c r="C145" s="77" t="s">
        <v>5</v>
      </c>
      <c r="D145" s="77">
        <f>1*3.6*1.5</f>
        <v>5.4</v>
      </c>
      <c r="E145" s="99"/>
      <c r="F145" s="99"/>
      <c r="G145" s="88">
        <f>441.28+755.09</f>
        <v>1196.3699999999999</v>
      </c>
      <c r="H145" s="88"/>
      <c r="I145" s="87"/>
      <c r="J145" s="87">
        <f t="shared" si="13"/>
        <v>6460.3980000000001</v>
      </c>
      <c r="K145" s="109" t="s">
        <v>678</v>
      </c>
      <c r="L145" s="80" t="s">
        <v>705</v>
      </c>
    </row>
    <row r="146" spans="1:13" s="13" customFormat="1" ht="29" hidden="1" outlineLevel="2" x14ac:dyDescent="0.3">
      <c r="A146" s="75" t="s">
        <v>456</v>
      </c>
      <c r="B146" s="76" t="s">
        <v>677</v>
      </c>
      <c r="C146" s="77" t="s">
        <v>5</v>
      </c>
      <c r="D146" s="77">
        <f>1*0.75*1.5</f>
        <v>1.125</v>
      </c>
      <c r="E146" s="99"/>
      <c r="F146" s="99"/>
      <c r="G146" s="88">
        <f>441.28+755.09</f>
        <v>1196.3699999999999</v>
      </c>
      <c r="H146" s="88"/>
      <c r="I146" s="87"/>
      <c r="J146" s="87">
        <f t="shared" si="13"/>
        <v>1345.9162499999998</v>
      </c>
      <c r="K146" s="109" t="s">
        <v>678</v>
      </c>
      <c r="L146" s="80" t="s">
        <v>705</v>
      </c>
    </row>
    <row r="147" spans="1:13" s="13" customFormat="1" ht="29" hidden="1" outlineLevel="2" x14ac:dyDescent="0.3">
      <c r="A147" s="75" t="s">
        <v>457</v>
      </c>
      <c r="B147" s="76" t="s">
        <v>288</v>
      </c>
      <c r="C147" s="77" t="s">
        <v>5</v>
      </c>
      <c r="D147" s="77">
        <f>1*(0.85*2.1)</f>
        <v>1.7849999999999999</v>
      </c>
      <c r="E147" s="99"/>
      <c r="F147" s="99"/>
      <c r="G147" s="88">
        <v>1018.11</v>
      </c>
      <c r="H147" s="88"/>
      <c r="I147" s="87"/>
      <c r="J147" s="87">
        <f t="shared" si="13"/>
        <v>1817.32635</v>
      </c>
      <c r="K147" s="80" t="s">
        <v>579</v>
      </c>
      <c r="L147" s="80" t="s">
        <v>705</v>
      </c>
    </row>
    <row r="148" spans="1:13" s="13" customFormat="1" ht="29" hidden="1" outlineLevel="2" x14ac:dyDescent="0.3">
      <c r="A148" s="75" t="s">
        <v>458</v>
      </c>
      <c r="B148" s="76" t="s">
        <v>852</v>
      </c>
      <c r="C148" s="77" t="s">
        <v>5</v>
      </c>
      <c r="D148" s="77">
        <f>289+162+167+65</f>
        <v>683</v>
      </c>
      <c r="E148" s="99">
        <v>1210.0899999999999</v>
      </c>
      <c r="F148" s="99">
        <v>28.66</v>
      </c>
      <c r="G148" s="88">
        <v>1238.75</v>
      </c>
      <c r="H148" s="88"/>
      <c r="I148" s="87"/>
      <c r="J148" s="87">
        <f t="shared" si="13"/>
        <v>846066.25</v>
      </c>
      <c r="K148" s="80" t="s">
        <v>714</v>
      </c>
      <c r="L148" s="80" t="s">
        <v>707</v>
      </c>
      <c r="M148" s="7"/>
    </row>
    <row r="149" spans="1:13" s="13" customFormat="1" ht="29" hidden="1" outlineLevel="2" x14ac:dyDescent="0.3">
      <c r="A149" s="75" t="s">
        <v>459</v>
      </c>
      <c r="B149" s="76" t="s">
        <v>713</v>
      </c>
      <c r="C149" s="77" t="s">
        <v>5</v>
      </c>
      <c r="D149" s="77">
        <f>254+139+110+181+130+112</f>
        <v>926</v>
      </c>
      <c r="E149" s="99"/>
      <c r="F149" s="99"/>
      <c r="G149" s="88">
        <v>755.09</v>
      </c>
      <c r="H149" s="88"/>
      <c r="I149" s="87"/>
      <c r="J149" s="87">
        <f>G149*D149</f>
        <v>699213.34000000008</v>
      </c>
      <c r="K149" s="80" t="s">
        <v>578</v>
      </c>
      <c r="L149" s="80" t="s">
        <v>705</v>
      </c>
    </row>
    <row r="150" spans="1:13" s="13" customFormat="1" ht="29" hidden="1" outlineLevel="2" x14ac:dyDescent="0.3">
      <c r="A150" s="75" t="s">
        <v>460</v>
      </c>
      <c r="B150" s="76" t="s">
        <v>461</v>
      </c>
      <c r="C150" s="77" t="s">
        <v>5</v>
      </c>
      <c r="D150" s="77">
        <f>1*3.3*4.4</f>
        <v>14.52</v>
      </c>
      <c r="E150" s="99"/>
      <c r="F150" s="99"/>
      <c r="G150" s="88">
        <v>755.09</v>
      </c>
      <c r="H150" s="88"/>
      <c r="I150" s="87"/>
      <c r="J150" s="87">
        <f>G150*D150</f>
        <v>10963.906800000001</v>
      </c>
      <c r="K150" s="80" t="s">
        <v>578</v>
      </c>
      <c r="L150" s="80" t="s">
        <v>705</v>
      </c>
    </row>
    <row r="151" spans="1:13" s="13" customFormat="1" hidden="1" outlineLevel="1" x14ac:dyDescent="0.3">
      <c r="A151" s="64" t="s">
        <v>383</v>
      </c>
      <c r="B151" s="65" t="s">
        <v>396</v>
      </c>
      <c r="C151" s="66"/>
      <c r="D151" s="66"/>
      <c r="E151" s="67"/>
      <c r="F151" s="67"/>
      <c r="G151" s="67"/>
      <c r="H151" s="67"/>
      <c r="I151" s="67"/>
      <c r="J151" s="104">
        <f>SUM(J152:J156)</f>
        <v>70282.796799999996</v>
      </c>
      <c r="K151" s="67"/>
      <c r="L151" s="67"/>
    </row>
    <row r="152" spans="1:13" s="13" customFormat="1" hidden="1" outlineLevel="2" x14ac:dyDescent="0.3">
      <c r="A152" s="75" t="s">
        <v>384</v>
      </c>
      <c r="B152" s="76" t="s">
        <v>583</v>
      </c>
      <c r="C152" s="77" t="s">
        <v>24</v>
      </c>
      <c r="D152" s="77">
        <f>13+11+8</f>
        <v>32</v>
      </c>
      <c r="E152" s="99"/>
      <c r="F152" s="99"/>
      <c r="G152" s="88">
        <v>391.84</v>
      </c>
      <c r="H152" s="88"/>
      <c r="I152" s="87"/>
      <c r="J152" s="87">
        <f>G152*D152</f>
        <v>12538.88</v>
      </c>
      <c r="K152" s="80" t="s">
        <v>582</v>
      </c>
      <c r="L152" s="80" t="s">
        <v>705</v>
      </c>
    </row>
    <row r="153" spans="1:13" s="13" customFormat="1" hidden="1" outlineLevel="2" x14ac:dyDescent="0.3">
      <c r="A153" s="75" t="s">
        <v>385</v>
      </c>
      <c r="B153" s="76" t="s">
        <v>584</v>
      </c>
      <c r="C153" s="77" t="s">
        <v>25</v>
      </c>
      <c r="D153" s="77">
        <f>12+24+27</f>
        <v>63</v>
      </c>
      <c r="E153" s="99"/>
      <c r="F153" s="99"/>
      <c r="G153" s="88">
        <v>391.84</v>
      </c>
      <c r="H153" s="88"/>
      <c r="I153" s="87"/>
      <c r="J153" s="87">
        <f>G153*D153</f>
        <v>24685.919999999998</v>
      </c>
      <c r="K153" s="80" t="s">
        <v>582</v>
      </c>
      <c r="L153" s="80" t="s">
        <v>705</v>
      </c>
      <c r="M153" s="7"/>
    </row>
    <row r="154" spans="1:13" s="13" customFormat="1" hidden="1" outlineLevel="2" x14ac:dyDescent="0.3">
      <c r="A154" s="75" t="s">
        <v>428</v>
      </c>
      <c r="B154" s="76" t="s">
        <v>585</v>
      </c>
      <c r="C154" s="77" t="s">
        <v>6</v>
      </c>
      <c r="D154" s="77">
        <v>1</v>
      </c>
      <c r="E154" s="99"/>
      <c r="F154" s="99"/>
      <c r="G154" s="88">
        <v>801</v>
      </c>
      <c r="H154" s="88"/>
      <c r="I154" s="87"/>
      <c r="J154" s="87">
        <f>G154*D154</f>
        <v>801</v>
      </c>
      <c r="K154" s="80" t="s">
        <v>680</v>
      </c>
      <c r="L154" s="80" t="s">
        <v>705</v>
      </c>
      <c r="M154" s="7"/>
    </row>
    <row r="155" spans="1:13" s="13" customFormat="1" hidden="1" outlineLevel="2" x14ac:dyDescent="0.3">
      <c r="A155" s="75" t="s">
        <v>452</v>
      </c>
      <c r="B155" s="76" t="s">
        <v>682</v>
      </c>
      <c r="C155" s="77" t="s">
        <v>5</v>
      </c>
      <c r="D155" s="77">
        <f>4*2.8*6.15</f>
        <v>68.88</v>
      </c>
      <c r="E155" s="99"/>
      <c r="F155" s="99"/>
      <c r="G155" s="88">
        <v>301.58</v>
      </c>
      <c r="H155" s="88"/>
      <c r="I155" s="87"/>
      <c r="J155" s="87">
        <f>G155*D155</f>
        <v>20772.830399999999</v>
      </c>
      <c r="K155" s="80" t="s">
        <v>681</v>
      </c>
      <c r="L155" s="80" t="s">
        <v>705</v>
      </c>
    </row>
    <row r="156" spans="1:13" s="13" customFormat="1" hidden="1" outlineLevel="2" x14ac:dyDescent="0.3">
      <c r="A156" s="75" t="s">
        <v>453</v>
      </c>
      <c r="B156" s="76" t="s">
        <v>683</v>
      </c>
      <c r="C156" s="77" t="s">
        <v>5</v>
      </c>
      <c r="D156" s="77">
        <f>4*3.4*2.8</f>
        <v>38.08</v>
      </c>
      <c r="E156" s="99"/>
      <c r="F156" s="99"/>
      <c r="G156" s="88">
        <v>301.58</v>
      </c>
      <c r="H156" s="88"/>
      <c r="I156" s="87"/>
      <c r="J156" s="87">
        <f>G156*D156</f>
        <v>11484.166399999998</v>
      </c>
      <c r="K156" s="80" t="s">
        <v>681</v>
      </c>
      <c r="L156" s="80" t="s">
        <v>705</v>
      </c>
    </row>
    <row r="157" spans="1:13" s="13" customFormat="1" hidden="1" outlineLevel="1" x14ac:dyDescent="0.3">
      <c r="A157" s="64" t="s">
        <v>386</v>
      </c>
      <c r="B157" s="65" t="s">
        <v>395</v>
      </c>
      <c r="C157" s="66"/>
      <c r="D157" s="66"/>
      <c r="E157" s="67"/>
      <c r="F157" s="67"/>
      <c r="G157" s="67"/>
      <c r="H157" s="67"/>
      <c r="I157" s="67"/>
      <c r="J157" s="104">
        <f>SUM(J158:J179)</f>
        <v>684013.70631000004</v>
      </c>
      <c r="K157" s="67"/>
      <c r="L157" s="30"/>
    </row>
    <row r="158" spans="1:13" s="13" customFormat="1" hidden="1" outlineLevel="2" x14ac:dyDescent="0.3">
      <c r="A158" s="75" t="s">
        <v>387</v>
      </c>
      <c r="B158" s="76" t="s">
        <v>425</v>
      </c>
      <c r="C158" s="77" t="s">
        <v>6</v>
      </c>
      <c r="D158" s="77">
        <f>2+1+1</f>
        <v>4</v>
      </c>
      <c r="E158" s="99"/>
      <c r="F158" s="99"/>
      <c r="G158" s="88">
        <v>1783.36</v>
      </c>
      <c r="H158" s="88"/>
      <c r="I158" s="87"/>
      <c r="J158" s="96">
        <f t="shared" ref="J158:J178" si="14">G158*D158</f>
        <v>7133.44</v>
      </c>
      <c r="K158" s="80" t="s">
        <v>684</v>
      </c>
      <c r="L158" s="80" t="s">
        <v>705</v>
      </c>
    </row>
    <row r="159" spans="1:13" s="13" customFormat="1" hidden="1" outlineLevel="2" x14ac:dyDescent="0.3">
      <c r="A159" s="75" t="s">
        <v>388</v>
      </c>
      <c r="B159" s="76" t="s">
        <v>434</v>
      </c>
      <c r="C159" s="77" t="s">
        <v>6</v>
      </c>
      <c r="D159" s="77">
        <f>3+3</f>
        <v>6</v>
      </c>
      <c r="E159" s="99"/>
      <c r="F159" s="99"/>
      <c r="G159" s="96">
        <v>1898.17</v>
      </c>
      <c r="H159" s="88"/>
      <c r="I159" s="87"/>
      <c r="J159" s="96">
        <f t="shared" si="14"/>
        <v>11389.02</v>
      </c>
      <c r="K159" s="80" t="s">
        <v>685</v>
      </c>
      <c r="L159" s="80" t="s">
        <v>705</v>
      </c>
      <c r="M159" s="7"/>
    </row>
    <row r="160" spans="1:13" s="13" customFormat="1" hidden="1" outlineLevel="2" x14ac:dyDescent="0.3">
      <c r="A160" s="75" t="s">
        <v>389</v>
      </c>
      <c r="B160" s="76" t="s">
        <v>415</v>
      </c>
      <c r="C160" s="77" t="s">
        <v>10</v>
      </c>
      <c r="D160" s="77">
        <v>9</v>
      </c>
      <c r="E160" s="99"/>
      <c r="F160" s="99"/>
      <c r="G160" s="88">
        <v>204.34</v>
      </c>
      <c r="H160" s="88"/>
      <c r="I160" s="87"/>
      <c r="J160" s="87">
        <f t="shared" si="14"/>
        <v>1839.06</v>
      </c>
      <c r="K160" s="109" t="s">
        <v>686</v>
      </c>
      <c r="L160" s="80" t="s">
        <v>705</v>
      </c>
      <c r="M160" s="47"/>
    </row>
    <row r="161" spans="1:13" s="13" customFormat="1" hidden="1" outlineLevel="2" x14ac:dyDescent="0.3">
      <c r="A161" s="75" t="s">
        <v>390</v>
      </c>
      <c r="B161" s="76" t="s">
        <v>289</v>
      </c>
      <c r="C161" s="77" t="s">
        <v>10</v>
      </c>
      <c r="D161" s="77">
        <f>55</f>
        <v>55</v>
      </c>
      <c r="E161" s="99"/>
      <c r="F161" s="99"/>
      <c r="G161" s="88">
        <v>204.34</v>
      </c>
      <c r="H161" s="88"/>
      <c r="I161" s="87"/>
      <c r="J161" s="87">
        <f t="shared" si="14"/>
        <v>11238.7</v>
      </c>
      <c r="K161" s="109" t="s">
        <v>686</v>
      </c>
      <c r="L161" s="80" t="s">
        <v>705</v>
      </c>
      <c r="M161" s="47"/>
    </row>
    <row r="162" spans="1:13" s="13" customFormat="1" hidden="1" outlineLevel="2" x14ac:dyDescent="0.3">
      <c r="A162" s="75" t="s">
        <v>391</v>
      </c>
      <c r="B162" s="76" t="s">
        <v>423</v>
      </c>
      <c r="C162" s="77" t="s">
        <v>10</v>
      </c>
      <c r="D162" s="77">
        <v>27</v>
      </c>
      <c r="E162" s="99"/>
      <c r="F162" s="99"/>
      <c r="G162" s="88">
        <v>89.46</v>
      </c>
      <c r="H162" s="88"/>
      <c r="I162" s="87"/>
      <c r="J162" s="87">
        <f t="shared" si="14"/>
        <v>2415.4199999999996</v>
      </c>
      <c r="K162" s="80" t="s">
        <v>687</v>
      </c>
      <c r="L162" s="80" t="s">
        <v>705</v>
      </c>
      <c r="M162" s="7"/>
    </row>
    <row r="163" spans="1:13" s="13" customFormat="1" hidden="1" outlineLevel="2" x14ac:dyDescent="0.3">
      <c r="A163" s="75" t="s">
        <v>392</v>
      </c>
      <c r="B163" s="76" t="s">
        <v>473</v>
      </c>
      <c r="C163" s="77" t="s">
        <v>5</v>
      </c>
      <c r="D163" s="77">
        <f>1*6.51*4.15</f>
        <v>27.016500000000001</v>
      </c>
      <c r="E163" s="99"/>
      <c r="F163" s="99"/>
      <c r="G163" s="88">
        <v>1316.14</v>
      </c>
      <c r="H163" s="88"/>
      <c r="I163" s="87"/>
      <c r="J163" s="87">
        <f t="shared" si="14"/>
        <v>35557.496310000002</v>
      </c>
      <c r="K163" s="80" t="s">
        <v>688</v>
      </c>
      <c r="L163" s="80" t="s">
        <v>705</v>
      </c>
      <c r="M163" s="7"/>
    </row>
    <row r="164" spans="1:13" s="13" customFormat="1" ht="29" hidden="1" outlineLevel="2" x14ac:dyDescent="0.3">
      <c r="A164" s="75" t="s">
        <v>393</v>
      </c>
      <c r="B164" s="76" t="s">
        <v>290</v>
      </c>
      <c r="C164" s="77" t="s">
        <v>6</v>
      </c>
      <c r="D164" s="77">
        <f>2+1+2</f>
        <v>5</v>
      </c>
      <c r="E164" s="99"/>
      <c r="F164" s="99"/>
      <c r="G164" s="88">
        <f>196.66*2+244.21*3</f>
        <v>1125.95</v>
      </c>
      <c r="H164" s="88"/>
      <c r="I164" s="87"/>
      <c r="J164" s="87">
        <f t="shared" si="14"/>
        <v>5629.75</v>
      </c>
      <c r="K164" s="109" t="s">
        <v>586</v>
      </c>
      <c r="L164" s="80" t="s">
        <v>705</v>
      </c>
      <c r="M164" s="7"/>
    </row>
    <row r="165" spans="1:13" s="13" customFormat="1" hidden="1" outlineLevel="2" x14ac:dyDescent="0.3">
      <c r="A165" s="75" t="s">
        <v>394</v>
      </c>
      <c r="B165" s="76" t="s">
        <v>422</v>
      </c>
      <c r="C165" s="77" t="s">
        <v>10</v>
      </c>
      <c r="D165" s="77">
        <v>8</v>
      </c>
      <c r="E165" s="99"/>
      <c r="F165" s="99"/>
      <c r="G165" s="88">
        <v>89.46</v>
      </c>
      <c r="H165" s="88"/>
      <c r="I165" s="87"/>
      <c r="J165" s="87">
        <f t="shared" si="14"/>
        <v>715.68</v>
      </c>
      <c r="K165" s="80" t="s">
        <v>687</v>
      </c>
      <c r="L165" s="80" t="s">
        <v>705</v>
      </c>
      <c r="M165" s="7"/>
    </row>
    <row r="166" spans="1:13" s="13" customFormat="1" hidden="1" outlineLevel="2" x14ac:dyDescent="0.3">
      <c r="A166" s="75" t="s">
        <v>416</v>
      </c>
      <c r="B166" s="76" t="s">
        <v>421</v>
      </c>
      <c r="C166" s="77" t="s">
        <v>10</v>
      </c>
      <c r="D166" s="77">
        <v>55</v>
      </c>
      <c r="E166" s="99"/>
      <c r="F166" s="99"/>
      <c r="G166" s="88">
        <v>481.64</v>
      </c>
      <c r="H166" s="88"/>
      <c r="I166" s="87"/>
      <c r="J166" s="87">
        <f t="shared" si="14"/>
        <v>26490.2</v>
      </c>
      <c r="K166" s="80" t="s">
        <v>587</v>
      </c>
      <c r="L166" s="80" t="s">
        <v>705</v>
      </c>
      <c r="M166" s="7"/>
    </row>
    <row r="167" spans="1:13" s="13" customFormat="1" hidden="1" outlineLevel="2" x14ac:dyDescent="0.3">
      <c r="A167" s="75" t="s">
        <v>417</v>
      </c>
      <c r="B167" s="76" t="s">
        <v>436</v>
      </c>
      <c r="C167" s="77" t="s">
        <v>10</v>
      </c>
      <c r="D167" s="77">
        <v>68</v>
      </c>
      <c r="E167" s="99"/>
      <c r="F167" s="99"/>
      <c r="G167" s="88">
        <v>481.64</v>
      </c>
      <c r="H167" s="88"/>
      <c r="I167" s="87"/>
      <c r="J167" s="87">
        <f t="shared" si="14"/>
        <v>32751.52</v>
      </c>
      <c r="K167" s="80" t="s">
        <v>587</v>
      </c>
      <c r="L167" s="80" t="s">
        <v>705</v>
      </c>
      <c r="M167" s="7"/>
    </row>
    <row r="168" spans="1:13" s="13" customFormat="1" hidden="1" outlineLevel="2" x14ac:dyDescent="0.3">
      <c r="A168" s="75" t="s">
        <v>418</v>
      </c>
      <c r="B168" s="76" t="s">
        <v>437</v>
      </c>
      <c r="C168" s="77" t="s">
        <v>10</v>
      </c>
      <c r="D168" s="77">
        <v>57</v>
      </c>
      <c r="E168" s="99"/>
      <c r="F168" s="99"/>
      <c r="G168" s="88">
        <v>481.64</v>
      </c>
      <c r="H168" s="88"/>
      <c r="I168" s="87"/>
      <c r="J168" s="87">
        <f t="shared" si="14"/>
        <v>27453.48</v>
      </c>
      <c r="K168" s="80" t="s">
        <v>587</v>
      </c>
      <c r="L168" s="80" t="s">
        <v>705</v>
      </c>
      <c r="M168" s="7"/>
    </row>
    <row r="169" spans="1:13" s="13" customFormat="1" hidden="1" outlineLevel="2" x14ac:dyDescent="0.3">
      <c r="A169" s="75" t="s">
        <v>424</v>
      </c>
      <c r="B169" s="76" t="s">
        <v>464</v>
      </c>
      <c r="C169" s="77" t="s">
        <v>10</v>
      </c>
      <c r="D169" s="77">
        <v>9</v>
      </c>
      <c r="E169" s="99"/>
      <c r="F169" s="99"/>
      <c r="G169" s="88">
        <v>89.46</v>
      </c>
      <c r="H169" s="88"/>
      <c r="I169" s="87"/>
      <c r="J169" s="87">
        <f t="shared" si="14"/>
        <v>805.14</v>
      </c>
      <c r="K169" s="80" t="s">
        <v>687</v>
      </c>
      <c r="L169" s="80" t="s">
        <v>705</v>
      </c>
      <c r="M169" s="7"/>
    </row>
    <row r="170" spans="1:13" s="13" customFormat="1" hidden="1" outlineLevel="2" x14ac:dyDescent="0.3">
      <c r="A170" s="75" t="s">
        <v>435</v>
      </c>
      <c r="B170" s="76" t="s">
        <v>442</v>
      </c>
      <c r="C170" s="77" t="s">
        <v>10</v>
      </c>
      <c r="D170" s="77">
        <v>20</v>
      </c>
      <c r="E170" s="99"/>
      <c r="F170" s="99"/>
      <c r="G170" s="88">
        <v>481.64</v>
      </c>
      <c r="H170" s="88"/>
      <c r="I170" s="87"/>
      <c r="J170" s="87">
        <f t="shared" si="14"/>
        <v>9632.7999999999993</v>
      </c>
      <c r="K170" s="80" t="s">
        <v>587</v>
      </c>
      <c r="L170" s="80" t="s">
        <v>705</v>
      </c>
    </row>
    <row r="171" spans="1:13" s="13" customFormat="1" hidden="1" outlineLevel="2" x14ac:dyDescent="0.3">
      <c r="A171" s="75" t="s">
        <v>438</v>
      </c>
      <c r="B171" s="76" t="s">
        <v>472</v>
      </c>
      <c r="C171" s="77" t="s">
        <v>5</v>
      </c>
      <c r="D171" s="77">
        <v>36</v>
      </c>
      <c r="E171" s="99"/>
      <c r="F171" s="99"/>
      <c r="G171" s="88">
        <v>1316.14</v>
      </c>
      <c r="H171" s="88"/>
      <c r="I171" s="87"/>
      <c r="J171" s="87">
        <f t="shared" si="14"/>
        <v>47381.04</v>
      </c>
      <c r="K171" s="80" t="s">
        <v>688</v>
      </c>
      <c r="L171" s="80" t="s">
        <v>705</v>
      </c>
    </row>
    <row r="172" spans="1:13" s="13" customFormat="1" hidden="1" outlineLevel="2" x14ac:dyDescent="0.3">
      <c r="A172" s="75" t="s">
        <v>439</v>
      </c>
      <c r="B172" s="76" t="s">
        <v>441</v>
      </c>
      <c r="C172" s="77" t="s">
        <v>10</v>
      </c>
      <c r="D172" s="77">
        <v>50</v>
      </c>
      <c r="E172" s="99"/>
      <c r="F172" s="99"/>
      <c r="G172" s="88">
        <v>481.64</v>
      </c>
      <c r="H172" s="88"/>
      <c r="I172" s="87"/>
      <c r="J172" s="87">
        <f t="shared" si="14"/>
        <v>24082</v>
      </c>
      <c r="K172" s="80" t="s">
        <v>587</v>
      </c>
      <c r="L172" s="80" t="s">
        <v>705</v>
      </c>
    </row>
    <row r="173" spans="1:13" s="13" customFormat="1" hidden="1" outlineLevel="2" x14ac:dyDescent="0.3">
      <c r="A173" s="75" t="s">
        <v>440</v>
      </c>
      <c r="B173" s="76" t="s">
        <v>420</v>
      </c>
      <c r="C173" s="77" t="s">
        <v>5</v>
      </c>
      <c r="D173" s="77">
        <v>236</v>
      </c>
      <c r="E173" s="99"/>
      <c r="F173" s="99"/>
      <c r="G173" s="88">
        <v>529.16999999999996</v>
      </c>
      <c r="H173" s="88"/>
      <c r="I173" s="87"/>
      <c r="J173" s="87">
        <f t="shared" si="14"/>
        <v>124884.12</v>
      </c>
      <c r="K173" s="80" t="s">
        <v>588</v>
      </c>
      <c r="L173" s="80" t="s">
        <v>705</v>
      </c>
    </row>
    <row r="174" spans="1:13" s="13" customFormat="1" hidden="1" outlineLevel="2" x14ac:dyDescent="0.3">
      <c r="A174" s="75" t="s">
        <v>444</v>
      </c>
      <c r="B174" s="76" t="s">
        <v>443</v>
      </c>
      <c r="C174" s="77" t="s">
        <v>10</v>
      </c>
      <c r="D174" s="77">
        <v>6</v>
      </c>
      <c r="E174" s="99"/>
      <c r="F174" s="99"/>
      <c r="G174" s="88">
        <v>481.64</v>
      </c>
      <c r="H174" s="88"/>
      <c r="I174" s="87"/>
      <c r="J174" s="87">
        <f t="shared" si="14"/>
        <v>2889.84</v>
      </c>
      <c r="K174" s="80" t="s">
        <v>587</v>
      </c>
      <c r="L174" s="80" t="s">
        <v>705</v>
      </c>
    </row>
    <row r="175" spans="1:13" s="13" customFormat="1" hidden="1" outlineLevel="2" x14ac:dyDescent="0.3">
      <c r="A175" s="75" t="s">
        <v>445</v>
      </c>
      <c r="B175" s="76" t="s">
        <v>419</v>
      </c>
      <c r="C175" s="77" t="s">
        <v>6</v>
      </c>
      <c r="D175" s="77">
        <v>48</v>
      </c>
      <c r="E175" s="99"/>
      <c r="F175" s="99"/>
      <c r="G175" s="88">
        <v>901.84</v>
      </c>
      <c r="H175" s="88"/>
      <c r="I175" s="87"/>
      <c r="J175" s="87">
        <f t="shared" si="14"/>
        <v>43288.32</v>
      </c>
      <c r="K175" s="80" t="s">
        <v>689</v>
      </c>
      <c r="L175" s="80" t="s">
        <v>705</v>
      </c>
    </row>
    <row r="176" spans="1:13" s="13" customFormat="1" hidden="1" outlineLevel="2" x14ac:dyDescent="0.3">
      <c r="A176" s="75" t="s">
        <v>446</v>
      </c>
      <c r="B176" s="76" t="s">
        <v>462</v>
      </c>
      <c r="C176" s="77" t="s">
        <v>10</v>
      </c>
      <c r="D176" s="77">
        <v>15</v>
      </c>
      <c r="E176" s="99"/>
      <c r="F176" s="99"/>
      <c r="G176" s="88">
        <v>481.64</v>
      </c>
      <c r="H176" s="88"/>
      <c r="I176" s="87"/>
      <c r="J176" s="87">
        <f t="shared" si="14"/>
        <v>7224.5999999999995</v>
      </c>
      <c r="K176" s="80" t="s">
        <v>587</v>
      </c>
      <c r="L176" s="80" t="s">
        <v>705</v>
      </c>
    </row>
    <row r="177" spans="1:13" s="13" customFormat="1" hidden="1" outlineLevel="2" x14ac:dyDescent="0.3">
      <c r="A177" s="75" t="s">
        <v>463</v>
      </c>
      <c r="B177" s="76" t="s">
        <v>426</v>
      </c>
      <c r="C177" s="77" t="s">
        <v>5</v>
      </c>
      <c r="D177" s="77">
        <v>18</v>
      </c>
      <c r="E177" s="35"/>
      <c r="F177" s="99"/>
      <c r="G177" s="88">
        <v>1144.78</v>
      </c>
      <c r="H177" s="88"/>
      <c r="I177" s="87"/>
      <c r="J177" s="87">
        <f t="shared" si="14"/>
        <v>20606.04</v>
      </c>
      <c r="K177" s="80" t="s">
        <v>715</v>
      </c>
      <c r="L177" s="80" t="s">
        <v>707</v>
      </c>
      <c r="M177" s="7"/>
    </row>
    <row r="178" spans="1:13" s="13" customFormat="1" hidden="1" outlineLevel="2" x14ac:dyDescent="0.3">
      <c r="A178" s="75" t="s">
        <v>465</v>
      </c>
      <c r="B178" s="76" t="s">
        <v>427</v>
      </c>
      <c r="C178" s="77" t="s">
        <v>5</v>
      </c>
      <c r="D178" s="77">
        <v>18</v>
      </c>
      <c r="E178" s="35"/>
      <c r="F178" s="99"/>
      <c r="G178" s="88">
        <v>1144.78</v>
      </c>
      <c r="H178" s="88"/>
      <c r="I178" s="87"/>
      <c r="J178" s="87">
        <f t="shared" si="14"/>
        <v>20606.04</v>
      </c>
      <c r="K178" s="80" t="s">
        <v>715</v>
      </c>
      <c r="L178" s="80" t="s">
        <v>707</v>
      </c>
      <c r="M178" s="7"/>
    </row>
    <row r="179" spans="1:13" s="13" customFormat="1" hidden="1" outlineLevel="2" x14ac:dyDescent="0.3">
      <c r="A179" s="75" t="s">
        <v>466</v>
      </c>
      <c r="B179" s="76" t="s">
        <v>856</v>
      </c>
      <c r="C179" s="77" t="s">
        <v>6</v>
      </c>
      <c r="D179" s="77">
        <f>50+60</f>
        <v>110</v>
      </c>
      <c r="E179" s="165"/>
      <c r="F179" s="165"/>
      <c r="G179" s="134">
        <f>2000</f>
        <v>2000</v>
      </c>
      <c r="H179" s="134"/>
      <c r="I179" s="135"/>
      <c r="J179" s="135">
        <f>G179*D179</f>
        <v>220000</v>
      </c>
      <c r="K179" s="45"/>
      <c r="L179" s="45"/>
      <c r="M179" s="7"/>
    </row>
    <row r="180" spans="1:13" s="13" customFormat="1" hidden="1" outlineLevel="1" x14ac:dyDescent="0.3">
      <c r="A180" s="64" t="s">
        <v>448</v>
      </c>
      <c r="B180" s="65" t="s">
        <v>449</v>
      </c>
      <c r="C180" s="66"/>
      <c r="D180" s="66"/>
      <c r="E180" s="67"/>
      <c r="F180" s="67"/>
      <c r="G180" s="67"/>
      <c r="H180" s="67"/>
      <c r="I180" s="67"/>
      <c r="J180" s="104">
        <f>J181</f>
        <v>1141.56</v>
      </c>
      <c r="K180" s="67"/>
      <c r="L180" s="67"/>
    </row>
    <row r="181" spans="1:13" s="13" customFormat="1" hidden="1" outlineLevel="2" x14ac:dyDescent="0.3">
      <c r="A181" s="75" t="s">
        <v>450</v>
      </c>
      <c r="B181" s="76" t="s">
        <v>451</v>
      </c>
      <c r="C181" s="77" t="s">
        <v>5</v>
      </c>
      <c r="D181" s="77">
        <f>1*2.5*1.2</f>
        <v>3</v>
      </c>
      <c r="E181" s="99"/>
      <c r="F181" s="99"/>
      <c r="G181" s="88">
        <v>380.52</v>
      </c>
      <c r="H181" s="88"/>
      <c r="I181" s="87"/>
      <c r="J181" s="87">
        <f>G181*D181</f>
        <v>1141.56</v>
      </c>
      <c r="K181" s="80" t="s">
        <v>690</v>
      </c>
      <c r="L181" s="80" t="s">
        <v>705</v>
      </c>
    </row>
    <row r="182" spans="1:13" s="13" customFormat="1" collapsed="1" x14ac:dyDescent="0.3">
      <c r="A182" s="92">
        <v>10</v>
      </c>
      <c r="B182" s="93" t="s">
        <v>68</v>
      </c>
      <c r="C182" s="94"/>
      <c r="D182" s="92"/>
      <c r="E182" s="95"/>
      <c r="F182" s="95"/>
      <c r="G182" s="95"/>
      <c r="H182" s="95"/>
      <c r="I182" s="95"/>
      <c r="J182" s="95">
        <f>J183+J202+J210</f>
        <v>69091.435799999992</v>
      </c>
      <c r="K182" s="95"/>
      <c r="L182" s="95"/>
    </row>
    <row r="183" spans="1:13" s="13" customFormat="1" hidden="1" outlineLevel="1" x14ac:dyDescent="0.3">
      <c r="A183" s="100" t="s">
        <v>161</v>
      </c>
      <c r="B183" s="101" t="s">
        <v>356</v>
      </c>
      <c r="C183" s="102"/>
      <c r="D183" s="102"/>
      <c r="E183" s="103"/>
      <c r="F183" s="103"/>
      <c r="G183" s="103"/>
      <c r="H183" s="103"/>
      <c r="I183" s="52"/>
      <c r="J183" s="104">
        <f>SUM(J184:J201)</f>
        <v>28901.326999999997</v>
      </c>
      <c r="K183" s="104"/>
      <c r="L183" s="104"/>
    </row>
    <row r="184" spans="1:13" hidden="1" outlineLevel="2" x14ac:dyDescent="0.3">
      <c r="A184" s="75" t="s">
        <v>316</v>
      </c>
      <c r="B184" s="76" t="s">
        <v>292</v>
      </c>
      <c r="C184" s="77" t="s">
        <v>10</v>
      </c>
      <c r="D184" s="77">
        <f>29*0.8</f>
        <v>23.200000000000003</v>
      </c>
      <c r="E184" s="88"/>
      <c r="F184" s="88"/>
      <c r="G184" s="88">
        <v>99.97</v>
      </c>
      <c r="H184" s="88"/>
      <c r="I184" s="87"/>
      <c r="J184" s="161">
        <f>G184*D184</f>
        <v>2319.3040000000001</v>
      </c>
      <c r="K184" s="80" t="s">
        <v>589</v>
      </c>
      <c r="L184" s="80" t="s">
        <v>705</v>
      </c>
    </row>
    <row r="185" spans="1:13" hidden="1" outlineLevel="2" x14ac:dyDescent="0.3">
      <c r="A185" s="75" t="s">
        <v>317</v>
      </c>
      <c r="B185" s="76" t="s">
        <v>291</v>
      </c>
      <c r="C185" s="77" t="s">
        <v>10</v>
      </c>
      <c r="D185" s="77">
        <f>3*5.5</f>
        <v>16.5</v>
      </c>
      <c r="E185" s="88"/>
      <c r="F185" s="88"/>
      <c r="G185" s="88">
        <v>99.97</v>
      </c>
      <c r="H185" s="88"/>
      <c r="I185" s="87"/>
      <c r="J185" s="161">
        <f>G185*D185</f>
        <v>1649.5049999999999</v>
      </c>
      <c r="K185" s="80" t="s">
        <v>589</v>
      </c>
      <c r="L185" s="80" t="s">
        <v>705</v>
      </c>
    </row>
    <row r="186" spans="1:13" hidden="1" outlineLevel="2" x14ac:dyDescent="0.3">
      <c r="A186" s="75" t="s">
        <v>318</v>
      </c>
      <c r="B186" s="76" t="s">
        <v>293</v>
      </c>
      <c r="C186" s="77" t="s">
        <v>10</v>
      </c>
      <c r="D186" s="77">
        <f>12*6.55</f>
        <v>78.599999999999994</v>
      </c>
      <c r="E186" s="88"/>
      <c r="F186" s="88"/>
      <c r="G186" s="88">
        <v>99.97</v>
      </c>
      <c r="H186" s="88"/>
      <c r="I186" s="87"/>
      <c r="J186" s="161">
        <f t="shared" ref="J186:J188" si="15">G186*D186</f>
        <v>7857.6419999999989</v>
      </c>
      <c r="K186" s="80" t="s">
        <v>589</v>
      </c>
      <c r="L186" s="80" t="s">
        <v>705</v>
      </c>
    </row>
    <row r="187" spans="1:13" hidden="1" outlineLevel="2" x14ac:dyDescent="0.3">
      <c r="A187" s="75" t="s">
        <v>319</v>
      </c>
      <c r="B187" s="76" t="s">
        <v>294</v>
      </c>
      <c r="C187" s="77" t="s">
        <v>10</v>
      </c>
      <c r="D187" s="77">
        <f>1*4</f>
        <v>4</v>
      </c>
      <c r="E187" s="88"/>
      <c r="F187" s="88"/>
      <c r="G187" s="88">
        <v>99.97</v>
      </c>
      <c r="H187" s="88"/>
      <c r="I187" s="87"/>
      <c r="J187" s="161">
        <f t="shared" si="15"/>
        <v>399.88</v>
      </c>
      <c r="K187" s="80" t="s">
        <v>589</v>
      </c>
      <c r="L187" s="80" t="s">
        <v>705</v>
      </c>
    </row>
    <row r="188" spans="1:13" hidden="1" outlineLevel="2" x14ac:dyDescent="0.3">
      <c r="A188" s="75" t="s">
        <v>320</v>
      </c>
      <c r="B188" s="76" t="s">
        <v>295</v>
      </c>
      <c r="C188" s="77" t="s">
        <v>10</v>
      </c>
      <c r="D188" s="77">
        <f>3*0.9</f>
        <v>2.7</v>
      </c>
      <c r="E188" s="88"/>
      <c r="F188" s="88"/>
      <c r="G188" s="88">
        <v>99.97</v>
      </c>
      <c r="H188" s="88"/>
      <c r="I188" s="87"/>
      <c r="J188" s="161">
        <f t="shared" si="15"/>
        <v>269.91900000000004</v>
      </c>
      <c r="K188" s="80" t="s">
        <v>589</v>
      </c>
      <c r="L188" s="80" t="s">
        <v>705</v>
      </c>
    </row>
    <row r="189" spans="1:13" hidden="1" outlineLevel="2" x14ac:dyDescent="0.3">
      <c r="A189" s="75" t="s">
        <v>321</v>
      </c>
      <c r="B189" s="76" t="s">
        <v>475</v>
      </c>
      <c r="C189" s="77" t="s">
        <v>10</v>
      </c>
      <c r="D189" s="77">
        <f>1*1.5</f>
        <v>1.5</v>
      </c>
      <c r="E189" s="88"/>
      <c r="F189" s="88"/>
      <c r="G189" s="88">
        <v>99.97</v>
      </c>
      <c r="H189" s="88"/>
      <c r="I189" s="87"/>
      <c r="J189" s="161">
        <f t="shared" ref="J189:J201" si="16">G189*D189</f>
        <v>149.95499999999998</v>
      </c>
      <c r="K189" s="80" t="s">
        <v>589</v>
      </c>
      <c r="L189" s="80" t="s">
        <v>705</v>
      </c>
    </row>
    <row r="190" spans="1:13" hidden="1" outlineLevel="2" x14ac:dyDescent="0.3">
      <c r="A190" s="75" t="s">
        <v>474</v>
      </c>
      <c r="B190" s="76" t="s">
        <v>477</v>
      </c>
      <c r="C190" s="77" t="s">
        <v>10</v>
      </c>
      <c r="D190" s="77">
        <f>10*1</f>
        <v>10</v>
      </c>
      <c r="E190" s="88"/>
      <c r="F190" s="88"/>
      <c r="G190" s="88">
        <v>99.97</v>
      </c>
      <c r="H190" s="88"/>
      <c r="I190" s="87"/>
      <c r="J190" s="161">
        <f t="shared" si="16"/>
        <v>999.7</v>
      </c>
      <c r="K190" s="80" t="s">
        <v>589</v>
      </c>
      <c r="L190" s="80" t="s">
        <v>705</v>
      </c>
    </row>
    <row r="191" spans="1:13" hidden="1" outlineLevel="2" x14ac:dyDescent="0.3">
      <c r="A191" s="75" t="s">
        <v>476</v>
      </c>
      <c r="B191" s="76" t="s">
        <v>479</v>
      </c>
      <c r="C191" s="77" t="s">
        <v>10</v>
      </c>
      <c r="D191" s="77">
        <f>5*0.8</f>
        <v>4</v>
      </c>
      <c r="E191" s="88"/>
      <c r="F191" s="88"/>
      <c r="G191" s="88">
        <v>99.97</v>
      </c>
      <c r="H191" s="88"/>
      <c r="I191" s="87"/>
      <c r="J191" s="161">
        <f t="shared" si="16"/>
        <v>399.88</v>
      </c>
      <c r="K191" s="80" t="s">
        <v>589</v>
      </c>
      <c r="L191" s="80" t="s">
        <v>705</v>
      </c>
    </row>
    <row r="192" spans="1:13" hidden="1" outlineLevel="2" x14ac:dyDescent="0.3">
      <c r="A192" s="75" t="s">
        <v>478</v>
      </c>
      <c r="B192" s="76" t="s">
        <v>481</v>
      </c>
      <c r="C192" s="77" t="s">
        <v>10</v>
      </c>
      <c r="D192" s="77">
        <f>61*0.6</f>
        <v>36.6</v>
      </c>
      <c r="E192" s="88"/>
      <c r="F192" s="88"/>
      <c r="G192" s="88">
        <v>99.97</v>
      </c>
      <c r="H192" s="88"/>
      <c r="I192" s="87"/>
      <c r="J192" s="161">
        <f t="shared" si="16"/>
        <v>3658.902</v>
      </c>
      <c r="K192" s="80" t="s">
        <v>589</v>
      </c>
      <c r="L192" s="80" t="s">
        <v>705</v>
      </c>
    </row>
    <row r="193" spans="1:12" hidden="1" outlineLevel="2" x14ac:dyDescent="0.3">
      <c r="A193" s="75" t="s">
        <v>480</v>
      </c>
      <c r="B193" s="76" t="s">
        <v>483</v>
      </c>
      <c r="C193" s="77" t="s">
        <v>10</v>
      </c>
      <c r="D193" s="77">
        <f>3*8.4</f>
        <v>25.200000000000003</v>
      </c>
      <c r="E193" s="88"/>
      <c r="F193" s="88"/>
      <c r="G193" s="88">
        <v>99.97</v>
      </c>
      <c r="H193" s="88"/>
      <c r="I193" s="87"/>
      <c r="J193" s="161">
        <f t="shared" si="16"/>
        <v>2519.2440000000001</v>
      </c>
      <c r="K193" s="80" t="s">
        <v>589</v>
      </c>
      <c r="L193" s="80" t="s">
        <v>705</v>
      </c>
    </row>
    <row r="194" spans="1:12" hidden="1" outlineLevel="2" x14ac:dyDescent="0.3">
      <c r="A194" s="75" t="s">
        <v>482</v>
      </c>
      <c r="B194" s="76" t="s">
        <v>484</v>
      </c>
      <c r="C194" s="77" t="s">
        <v>10</v>
      </c>
      <c r="D194" s="77">
        <f>3*3.7</f>
        <v>11.100000000000001</v>
      </c>
      <c r="E194" s="88"/>
      <c r="F194" s="88"/>
      <c r="G194" s="88">
        <v>99.97</v>
      </c>
      <c r="H194" s="88"/>
      <c r="I194" s="87"/>
      <c r="J194" s="161">
        <f t="shared" si="16"/>
        <v>1109.6670000000001</v>
      </c>
      <c r="K194" s="80" t="s">
        <v>589</v>
      </c>
      <c r="L194" s="80" t="s">
        <v>705</v>
      </c>
    </row>
    <row r="195" spans="1:12" hidden="1" outlineLevel="2" x14ac:dyDescent="0.3">
      <c r="A195" s="75" t="s">
        <v>485</v>
      </c>
      <c r="B195" s="76" t="s">
        <v>487</v>
      </c>
      <c r="C195" s="77" t="s">
        <v>10</v>
      </c>
      <c r="D195" s="77">
        <f>4*1.7</f>
        <v>6.8</v>
      </c>
      <c r="E195" s="88"/>
      <c r="F195" s="88"/>
      <c r="G195" s="88">
        <v>99.97</v>
      </c>
      <c r="H195" s="88"/>
      <c r="I195" s="87"/>
      <c r="J195" s="161">
        <f t="shared" si="16"/>
        <v>679.79599999999994</v>
      </c>
      <c r="K195" s="80" t="s">
        <v>589</v>
      </c>
      <c r="L195" s="80" t="s">
        <v>705</v>
      </c>
    </row>
    <row r="196" spans="1:12" hidden="1" outlineLevel="2" x14ac:dyDescent="0.3">
      <c r="A196" s="75" t="s">
        <v>486</v>
      </c>
      <c r="B196" s="76" t="s">
        <v>489</v>
      </c>
      <c r="C196" s="77" t="s">
        <v>10</v>
      </c>
      <c r="D196" s="77">
        <f>1*8.8</f>
        <v>8.8000000000000007</v>
      </c>
      <c r="E196" s="88"/>
      <c r="F196" s="88"/>
      <c r="G196" s="88">
        <v>99.97</v>
      </c>
      <c r="H196" s="88"/>
      <c r="I196" s="87"/>
      <c r="J196" s="161">
        <f t="shared" si="16"/>
        <v>879.7360000000001</v>
      </c>
      <c r="K196" s="80" t="s">
        <v>589</v>
      </c>
      <c r="L196" s="80" t="s">
        <v>705</v>
      </c>
    </row>
    <row r="197" spans="1:12" hidden="1" outlineLevel="2" x14ac:dyDescent="0.3">
      <c r="A197" s="75" t="s">
        <v>488</v>
      </c>
      <c r="B197" s="76" t="s">
        <v>491</v>
      </c>
      <c r="C197" s="77" t="s">
        <v>10</v>
      </c>
      <c r="D197" s="77">
        <f>1*8</f>
        <v>8</v>
      </c>
      <c r="E197" s="88"/>
      <c r="F197" s="88"/>
      <c r="G197" s="88">
        <v>99.97</v>
      </c>
      <c r="H197" s="88"/>
      <c r="I197" s="87"/>
      <c r="J197" s="161">
        <f t="shared" si="16"/>
        <v>799.76</v>
      </c>
      <c r="K197" s="80" t="s">
        <v>589</v>
      </c>
      <c r="L197" s="80" t="s">
        <v>705</v>
      </c>
    </row>
    <row r="198" spans="1:12" hidden="1" outlineLevel="2" x14ac:dyDescent="0.3">
      <c r="A198" s="75" t="s">
        <v>490</v>
      </c>
      <c r="B198" s="76" t="s">
        <v>493</v>
      </c>
      <c r="C198" s="77" t="s">
        <v>10</v>
      </c>
      <c r="D198" s="77">
        <f>10*3.6</f>
        <v>36</v>
      </c>
      <c r="E198" s="88"/>
      <c r="F198" s="88"/>
      <c r="G198" s="88">
        <v>99.97</v>
      </c>
      <c r="H198" s="88"/>
      <c r="I198" s="87"/>
      <c r="J198" s="161">
        <f t="shared" si="16"/>
        <v>3598.92</v>
      </c>
      <c r="K198" s="80" t="s">
        <v>589</v>
      </c>
      <c r="L198" s="80" t="s">
        <v>705</v>
      </c>
    </row>
    <row r="199" spans="1:12" hidden="1" outlineLevel="2" x14ac:dyDescent="0.3">
      <c r="A199" s="75" t="s">
        <v>492</v>
      </c>
      <c r="B199" s="76" t="s">
        <v>495</v>
      </c>
      <c r="C199" s="77" t="s">
        <v>10</v>
      </c>
      <c r="D199" s="77">
        <f>2*0.65</f>
        <v>1.3</v>
      </c>
      <c r="E199" s="88"/>
      <c r="F199" s="88"/>
      <c r="G199" s="88">
        <v>99.97</v>
      </c>
      <c r="H199" s="88"/>
      <c r="I199" s="87"/>
      <c r="J199" s="161">
        <f t="shared" si="16"/>
        <v>129.96100000000001</v>
      </c>
      <c r="K199" s="80" t="s">
        <v>589</v>
      </c>
      <c r="L199" s="80" t="s">
        <v>705</v>
      </c>
    </row>
    <row r="200" spans="1:12" hidden="1" outlineLevel="2" x14ac:dyDescent="0.3">
      <c r="A200" s="75" t="s">
        <v>494</v>
      </c>
      <c r="B200" s="76" t="s">
        <v>496</v>
      </c>
      <c r="C200" s="77" t="s">
        <v>10</v>
      </c>
      <c r="D200" s="77">
        <f>7*1.5</f>
        <v>10.5</v>
      </c>
      <c r="E200" s="88"/>
      <c r="F200" s="88"/>
      <c r="G200" s="88">
        <v>99.97</v>
      </c>
      <c r="H200" s="88"/>
      <c r="I200" s="87"/>
      <c r="J200" s="161">
        <f t="shared" si="16"/>
        <v>1049.6849999999999</v>
      </c>
      <c r="K200" s="80" t="s">
        <v>589</v>
      </c>
      <c r="L200" s="80" t="s">
        <v>705</v>
      </c>
    </row>
    <row r="201" spans="1:12" hidden="1" outlineLevel="2" x14ac:dyDescent="0.3">
      <c r="A201" s="75" t="s">
        <v>497</v>
      </c>
      <c r="B201" s="76" t="s">
        <v>498</v>
      </c>
      <c r="C201" s="77" t="s">
        <v>10</v>
      </c>
      <c r="D201" s="77">
        <f>2*2.15</f>
        <v>4.3</v>
      </c>
      <c r="E201" s="88"/>
      <c r="F201" s="88"/>
      <c r="G201" s="88">
        <v>99.97</v>
      </c>
      <c r="H201" s="88"/>
      <c r="I201" s="87"/>
      <c r="J201" s="161">
        <f t="shared" si="16"/>
        <v>429.87099999999998</v>
      </c>
      <c r="K201" s="80" t="s">
        <v>589</v>
      </c>
      <c r="L201" s="80" t="s">
        <v>705</v>
      </c>
    </row>
    <row r="202" spans="1:12" s="13" customFormat="1" hidden="1" outlineLevel="1" x14ac:dyDescent="0.3">
      <c r="A202" s="100" t="s">
        <v>162</v>
      </c>
      <c r="B202" s="101" t="s">
        <v>357</v>
      </c>
      <c r="C202" s="102"/>
      <c r="D202" s="105"/>
      <c r="E202" s="103"/>
      <c r="F202" s="103"/>
      <c r="G202" s="103"/>
      <c r="H202" s="103"/>
      <c r="I202" s="52"/>
      <c r="J202" s="104">
        <f>SUM(J203:J209)</f>
        <v>16816.736000000001</v>
      </c>
      <c r="K202" s="104"/>
      <c r="L202" s="104"/>
    </row>
    <row r="203" spans="1:12" s="13" customFormat="1" hidden="1" outlineLevel="2" x14ac:dyDescent="0.3">
      <c r="A203" s="75" t="s">
        <v>322</v>
      </c>
      <c r="B203" s="76" t="s">
        <v>500</v>
      </c>
      <c r="C203" s="77" t="s">
        <v>10</v>
      </c>
      <c r="D203" s="106">
        <f>1*3.15</f>
        <v>3.15</v>
      </c>
      <c r="E203" s="107"/>
      <c r="F203" s="88"/>
      <c r="G203" s="88">
        <v>141.08000000000001</v>
      </c>
      <c r="H203" s="88"/>
      <c r="I203" s="87"/>
      <c r="J203" s="161">
        <f t="shared" ref="J203:J209" si="17">G203*D203</f>
        <v>444.40200000000004</v>
      </c>
      <c r="K203" s="80" t="s">
        <v>590</v>
      </c>
      <c r="L203" s="80" t="s">
        <v>705</v>
      </c>
    </row>
    <row r="204" spans="1:12" s="13" customFormat="1" hidden="1" outlineLevel="2" x14ac:dyDescent="0.3">
      <c r="A204" s="75" t="s">
        <v>323</v>
      </c>
      <c r="B204" s="76" t="s">
        <v>501</v>
      </c>
      <c r="C204" s="77" t="s">
        <v>10</v>
      </c>
      <c r="D204" s="106">
        <f>1*0.75</f>
        <v>0.75</v>
      </c>
      <c r="E204" s="107"/>
      <c r="F204" s="88"/>
      <c r="G204" s="88">
        <v>141.08000000000001</v>
      </c>
      <c r="H204" s="88"/>
      <c r="I204" s="87"/>
      <c r="J204" s="161">
        <f t="shared" si="17"/>
        <v>105.81</v>
      </c>
      <c r="K204" s="80" t="s">
        <v>590</v>
      </c>
      <c r="L204" s="80" t="s">
        <v>705</v>
      </c>
    </row>
    <row r="205" spans="1:12" s="13" customFormat="1" hidden="1" outlineLevel="2" x14ac:dyDescent="0.3">
      <c r="A205" s="75" t="s">
        <v>499</v>
      </c>
      <c r="B205" s="76" t="s">
        <v>504</v>
      </c>
      <c r="C205" s="77" t="s">
        <v>10</v>
      </c>
      <c r="D205" s="106">
        <f>2*3.4</f>
        <v>6.8</v>
      </c>
      <c r="E205" s="107"/>
      <c r="F205" s="88"/>
      <c r="G205" s="88">
        <v>141.08000000000001</v>
      </c>
      <c r="H205" s="88"/>
      <c r="I205" s="87"/>
      <c r="J205" s="161">
        <f t="shared" si="17"/>
        <v>959.34400000000005</v>
      </c>
      <c r="K205" s="80" t="s">
        <v>590</v>
      </c>
      <c r="L205" s="80" t="s">
        <v>705</v>
      </c>
    </row>
    <row r="206" spans="1:12" s="13" customFormat="1" hidden="1" outlineLevel="2" x14ac:dyDescent="0.3">
      <c r="A206" s="75" t="s">
        <v>502</v>
      </c>
      <c r="B206" s="76" t="s">
        <v>506</v>
      </c>
      <c r="C206" s="77" t="s">
        <v>10</v>
      </c>
      <c r="D206" s="106">
        <f>28*2.4</f>
        <v>67.2</v>
      </c>
      <c r="E206" s="107"/>
      <c r="F206" s="88"/>
      <c r="G206" s="88">
        <v>141.08000000000001</v>
      </c>
      <c r="H206" s="88"/>
      <c r="I206" s="87"/>
      <c r="J206" s="161">
        <f t="shared" si="17"/>
        <v>9480.5760000000009</v>
      </c>
      <c r="K206" s="80" t="s">
        <v>590</v>
      </c>
      <c r="L206" s="80" t="s">
        <v>705</v>
      </c>
    </row>
    <row r="207" spans="1:12" s="13" customFormat="1" hidden="1" outlineLevel="2" x14ac:dyDescent="0.3">
      <c r="A207" s="75" t="s">
        <v>503</v>
      </c>
      <c r="B207" s="76" t="s">
        <v>508</v>
      </c>
      <c r="C207" s="77" t="s">
        <v>10</v>
      </c>
      <c r="D207" s="106">
        <f>7.2+7.2+16.5</f>
        <v>30.9</v>
      </c>
      <c r="E207" s="107"/>
      <c r="F207" s="88"/>
      <c r="G207" s="88">
        <v>141.08000000000001</v>
      </c>
      <c r="H207" s="88"/>
      <c r="I207" s="87"/>
      <c r="J207" s="161">
        <f t="shared" si="17"/>
        <v>4359.3720000000003</v>
      </c>
      <c r="K207" s="80" t="s">
        <v>590</v>
      </c>
      <c r="L207" s="80" t="s">
        <v>705</v>
      </c>
    </row>
    <row r="208" spans="1:12" s="13" customFormat="1" hidden="1" outlineLevel="2" x14ac:dyDescent="0.3">
      <c r="A208" s="75" t="s">
        <v>505</v>
      </c>
      <c r="B208" s="76" t="s">
        <v>509</v>
      </c>
      <c r="C208" s="77" t="s">
        <v>10</v>
      </c>
      <c r="D208" s="106">
        <f>8.9*1</f>
        <v>8.9</v>
      </c>
      <c r="E208" s="107"/>
      <c r="F208" s="88"/>
      <c r="G208" s="88">
        <v>141.08000000000001</v>
      </c>
      <c r="H208" s="88"/>
      <c r="I208" s="87"/>
      <c r="J208" s="161">
        <f t="shared" si="17"/>
        <v>1255.6120000000001</v>
      </c>
      <c r="K208" s="80" t="s">
        <v>590</v>
      </c>
      <c r="L208" s="80" t="s">
        <v>705</v>
      </c>
    </row>
    <row r="209" spans="1:13" s="13" customFormat="1" hidden="1" outlineLevel="2" x14ac:dyDescent="0.3">
      <c r="A209" s="75" t="s">
        <v>507</v>
      </c>
      <c r="B209" s="76" t="s">
        <v>510</v>
      </c>
      <c r="C209" s="77" t="s">
        <v>10</v>
      </c>
      <c r="D209" s="106">
        <f>1*1.5</f>
        <v>1.5</v>
      </c>
      <c r="E209" s="107"/>
      <c r="F209" s="88"/>
      <c r="G209" s="88">
        <v>141.08000000000001</v>
      </c>
      <c r="H209" s="88"/>
      <c r="I209" s="87"/>
      <c r="J209" s="161">
        <f t="shared" si="17"/>
        <v>211.62</v>
      </c>
      <c r="K209" s="80" t="s">
        <v>590</v>
      </c>
      <c r="L209" s="80" t="s">
        <v>705</v>
      </c>
    </row>
    <row r="210" spans="1:13" s="13" customFormat="1" hidden="1" outlineLevel="1" x14ac:dyDescent="0.3">
      <c r="A210" s="100" t="s">
        <v>163</v>
      </c>
      <c r="B210" s="101" t="s">
        <v>302</v>
      </c>
      <c r="C210" s="108"/>
      <c r="D210" s="105"/>
      <c r="E210" s="103"/>
      <c r="F210" s="103"/>
      <c r="G210" s="103"/>
      <c r="H210" s="103"/>
      <c r="I210" s="52"/>
      <c r="J210" s="104">
        <f>SUM(J211:J216)</f>
        <v>23373.372800000001</v>
      </c>
      <c r="K210" s="104"/>
      <c r="L210" s="104"/>
    </row>
    <row r="211" spans="1:13" s="13" customFormat="1" hidden="1" outlineLevel="2" x14ac:dyDescent="0.3">
      <c r="A211" s="75" t="s">
        <v>324</v>
      </c>
      <c r="B211" s="76" t="s">
        <v>301</v>
      </c>
      <c r="C211" s="77" t="s">
        <v>5</v>
      </c>
      <c r="D211" s="77">
        <f>1*0.92</f>
        <v>0.92</v>
      </c>
      <c r="E211" s="88"/>
      <c r="F211" s="88"/>
      <c r="G211" s="88">
        <v>643.54</v>
      </c>
      <c r="H211" s="88"/>
      <c r="I211" s="87"/>
      <c r="J211" s="87">
        <f>D211*G211</f>
        <v>592.05679999999995</v>
      </c>
      <c r="K211" s="80" t="s">
        <v>591</v>
      </c>
      <c r="L211" s="80" t="s">
        <v>705</v>
      </c>
    </row>
    <row r="212" spans="1:13" s="13" customFormat="1" hidden="1" outlineLevel="2" x14ac:dyDescent="0.3">
      <c r="A212" s="75" t="s">
        <v>325</v>
      </c>
      <c r="B212" s="76" t="s">
        <v>300</v>
      </c>
      <c r="C212" s="77" t="s">
        <v>5</v>
      </c>
      <c r="D212" s="77">
        <f>2*3.8</f>
        <v>7.6</v>
      </c>
      <c r="E212" s="88"/>
      <c r="F212" s="88"/>
      <c r="G212" s="88">
        <v>643.54</v>
      </c>
      <c r="H212" s="88"/>
      <c r="I212" s="87"/>
      <c r="J212" s="87">
        <f>D212*G212</f>
        <v>4890.9039999999995</v>
      </c>
      <c r="K212" s="80" t="s">
        <v>591</v>
      </c>
      <c r="L212" s="80" t="s">
        <v>705</v>
      </c>
      <c r="M212" s="7"/>
    </row>
    <row r="213" spans="1:13" s="13" customFormat="1" hidden="1" outlineLevel="2" x14ac:dyDescent="0.3">
      <c r="A213" s="75" t="s">
        <v>326</v>
      </c>
      <c r="B213" s="76" t="s">
        <v>299</v>
      </c>
      <c r="C213" s="77" t="s">
        <v>5</v>
      </c>
      <c r="D213" s="77">
        <f>3*5.2</f>
        <v>15.600000000000001</v>
      </c>
      <c r="E213" s="88"/>
      <c r="F213" s="88"/>
      <c r="G213" s="88">
        <v>643.54</v>
      </c>
      <c r="H213" s="88"/>
      <c r="I213" s="87"/>
      <c r="J213" s="87">
        <f t="shared" ref="J213:J216" si="18">D213*G213</f>
        <v>10039.224</v>
      </c>
      <c r="K213" s="80" t="s">
        <v>591</v>
      </c>
      <c r="L213" s="80" t="s">
        <v>705</v>
      </c>
    </row>
    <row r="214" spans="1:13" s="13" customFormat="1" hidden="1" outlineLevel="2" x14ac:dyDescent="0.3">
      <c r="A214" s="75" t="s">
        <v>327</v>
      </c>
      <c r="B214" s="76" t="s">
        <v>298</v>
      </c>
      <c r="C214" s="77" t="s">
        <v>5</v>
      </c>
      <c r="D214" s="77">
        <f>1*2.6</f>
        <v>2.6</v>
      </c>
      <c r="E214" s="88"/>
      <c r="F214" s="88"/>
      <c r="G214" s="88">
        <v>643.54</v>
      </c>
      <c r="H214" s="88"/>
      <c r="I214" s="87"/>
      <c r="J214" s="87">
        <f t="shared" si="18"/>
        <v>1673.204</v>
      </c>
      <c r="K214" s="80" t="s">
        <v>591</v>
      </c>
      <c r="L214" s="80" t="s">
        <v>705</v>
      </c>
    </row>
    <row r="215" spans="1:13" s="13" customFormat="1" hidden="1" outlineLevel="2" x14ac:dyDescent="0.3">
      <c r="A215" s="75" t="s">
        <v>328</v>
      </c>
      <c r="B215" s="76" t="s">
        <v>296</v>
      </c>
      <c r="C215" s="77" t="s">
        <v>5</v>
      </c>
      <c r="D215" s="77">
        <f>1*3</f>
        <v>3</v>
      </c>
      <c r="E215" s="88"/>
      <c r="F215" s="88"/>
      <c r="G215" s="88">
        <v>643.54</v>
      </c>
      <c r="H215" s="88"/>
      <c r="I215" s="87"/>
      <c r="J215" s="87">
        <f t="shared" si="18"/>
        <v>1930.62</v>
      </c>
      <c r="K215" s="80" t="s">
        <v>591</v>
      </c>
      <c r="L215" s="80" t="s">
        <v>705</v>
      </c>
    </row>
    <row r="216" spans="1:13" s="13" customFormat="1" hidden="1" outlineLevel="2" x14ac:dyDescent="0.3">
      <c r="A216" s="75" t="s">
        <v>329</v>
      </c>
      <c r="B216" s="76" t="s">
        <v>297</v>
      </c>
      <c r="C216" s="77" t="s">
        <v>5</v>
      </c>
      <c r="D216" s="77">
        <f>3*2.2</f>
        <v>6.6000000000000005</v>
      </c>
      <c r="E216" s="88"/>
      <c r="F216" s="88"/>
      <c r="G216" s="88">
        <v>643.54</v>
      </c>
      <c r="H216" s="88"/>
      <c r="I216" s="87"/>
      <c r="J216" s="87">
        <f t="shared" si="18"/>
        <v>4247.3640000000005</v>
      </c>
      <c r="K216" s="80" t="s">
        <v>591</v>
      </c>
      <c r="L216" s="80" t="s">
        <v>705</v>
      </c>
    </row>
    <row r="217" spans="1:13" s="8" customFormat="1" collapsed="1" x14ac:dyDescent="0.3">
      <c r="A217" s="92">
        <v>11</v>
      </c>
      <c r="B217" s="93" t="s">
        <v>26</v>
      </c>
      <c r="C217" s="128"/>
      <c r="D217" s="92"/>
      <c r="E217" s="95"/>
      <c r="F217" s="95"/>
      <c r="G217" s="95"/>
      <c r="H217" s="95"/>
      <c r="I217" s="95"/>
      <c r="J217" s="95">
        <f>J218+J225+J239+J246+J258</f>
        <v>256909.83</v>
      </c>
      <c r="K217" s="95"/>
      <c r="L217" s="95"/>
    </row>
    <row r="218" spans="1:13" s="13" customFormat="1" hidden="1" outlineLevel="1" x14ac:dyDescent="0.3">
      <c r="A218" s="100" t="s">
        <v>601</v>
      </c>
      <c r="B218" s="101" t="s">
        <v>772</v>
      </c>
      <c r="C218" s="102"/>
      <c r="D218" s="105"/>
      <c r="E218" s="103"/>
      <c r="F218" s="101"/>
      <c r="G218" s="129"/>
      <c r="H218" s="103"/>
      <c r="I218" s="52"/>
      <c r="J218" s="104">
        <f>SUM(J219:J224)</f>
        <v>219570.22999999998</v>
      </c>
      <c r="K218" s="104"/>
      <c r="L218" s="104"/>
    </row>
    <row r="219" spans="1:13" s="13" customFormat="1" ht="29" hidden="1" outlineLevel="2" x14ac:dyDescent="0.3">
      <c r="A219" s="75" t="s">
        <v>800</v>
      </c>
      <c r="B219" s="114" t="s">
        <v>750</v>
      </c>
      <c r="C219" s="77" t="s">
        <v>6</v>
      </c>
      <c r="D219" s="77">
        <v>1</v>
      </c>
      <c r="E219" s="99"/>
      <c r="F219" s="99"/>
      <c r="G219" s="97">
        <v>112880.15</v>
      </c>
      <c r="H219" s="97"/>
      <c r="I219" s="98"/>
      <c r="J219" s="121">
        <f t="shared" ref="J219" si="19">G219*D219</f>
        <v>112880.15</v>
      </c>
      <c r="K219" s="80" t="s">
        <v>888</v>
      </c>
      <c r="L219" s="80" t="s">
        <v>707</v>
      </c>
    </row>
    <row r="220" spans="1:13" s="13" customFormat="1" hidden="1" outlineLevel="2" x14ac:dyDescent="0.3">
      <c r="A220" s="75" t="s">
        <v>602</v>
      </c>
      <c r="B220" s="114" t="s">
        <v>751</v>
      </c>
      <c r="C220" s="77" t="s">
        <v>6</v>
      </c>
      <c r="D220" s="77">
        <v>1</v>
      </c>
      <c r="E220" s="99"/>
      <c r="F220" s="99"/>
      <c r="G220" s="97">
        <v>93462.54</v>
      </c>
      <c r="H220" s="97"/>
      <c r="I220" s="98"/>
      <c r="J220" s="121">
        <f>G220*D220</f>
        <v>93462.54</v>
      </c>
      <c r="K220" s="80" t="s">
        <v>752</v>
      </c>
      <c r="L220" s="80" t="s">
        <v>707</v>
      </c>
    </row>
    <row r="221" spans="1:13" s="13" customFormat="1" hidden="1" outlineLevel="2" x14ac:dyDescent="0.3">
      <c r="A221" s="75" t="s">
        <v>801</v>
      </c>
      <c r="B221" s="114" t="s">
        <v>753</v>
      </c>
      <c r="C221" s="77" t="s">
        <v>6</v>
      </c>
      <c r="D221" s="77">
        <v>4</v>
      </c>
      <c r="E221" s="99"/>
      <c r="F221" s="99"/>
      <c r="G221" s="97">
        <v>2706.51</v>
      </c>
      <c r="H221" s="97"/>
      <c r="I221" s="98"/>
      <c r="J221" s="121">
        <f t="shared" ref="J221:J223" si="20">G221*D221</f>
        <v>10826.04</v>
      </c>
      <c r="K221" s="80" t="s">
        <v>896</v>
      </c>
      <c r="L221" s="80" t="s">
        <v>707</v>
      </c>
    </row>
    <row r="222" spans="1:13" s="13" customFormat="1" hidden="1" outlineLevel="2" x14ac:dyDescent="0.3">
      <c r="A222" s="75" t="s">
        <v>802</v>
      </c>
      <c r="B222" s="114" t="s">
        <v>754</v>
      </c>
      <c r="C222" s="77" t="s">
        <v>6</v>
      </c>
      <c r="D222" s="77">
        <v>1</v>
      </c>
      <c r="E222" s="99"/>
      <c r="F222" s="99"/>
      <c r="G222" s="97">
        <v>227.83</v>
      </c>
      <c r="H222" s="97"/>
      <c r="I222" s="133"/>
      <c r="J222" s="121">
        <f t="shared" si="20"/>
        <v>227.83</v>
      </c>
      <c r="K222" s="80" t="s">
        <v>755</v>
      </c>
      <c r="L222" s="80" t="s">
        <v>707</v>
      </c>
    </row>
    <row r="223" spans="1:13" s="13" customFormat="1" hidden="1" outlineLevel="2" x14ac:dyDescent="0.3">
      <c r="A223" s="75" t="s">
        <v>803</v>
      </c>
      <c r="B223" s="114" t="s">
        <v>756</v>
      </c>
      <c r="C223" s="77" t="s">
        <v>6</v>
      </c>
      <c r="D223" s="77">
        <v>1</v>
      </c>
      <c r="E223" s="99"/>
      <c r="F223" s="99"/>
      <c r="G223" s="97">
        <v>756.15</v>
      </c>
      <c r="H223" s="97"/>
      <c r="I223" s="98"/>
      <c r="J223" s="121">
        <f t="shared" si="20"/>
        <v>756.15</v>
      </c>
      <c r="K223" s="80" t="s">
        <v>757</v>
      </c>
      <c r="L223" s="80" t="s">
        <v>707</v>
      </c>
    </row>
    <row r="224" spans="1:13" s="13" customFormat="1" hidden="1" outlineLevel="2" x14ac:dyDescent="0.3">
      <c r="A224" s="75" t="s">
        <v>804</v>
      </c>
      <c r="B224" s="76" t="s">
        <v>770</v>
      </c>
      <c r="C224" s="77" t="s">
        <v>77</v>
      </c>
      <c r="D224" s="77">
        <v>1</v>
      </c>
      <c r="E224" s="134"/>
      <c r="F224" s="134"/>
      <c r="G224" s="134">
        <v>1417.52</v>
      </c>
      <c r="H224" s="134"/>
      <c r="I224" s="135"/>
      <c r="J224" s="87">
        <f>G224*D224</f>
        <v>1417.52</v>
      </c>
      <c r="K224" s="80" t="s">
        <v>864</v>
      </c>
      <c r="L224" s="80" t="s">
        <v>705</v>
      </c>
    </row>
    <row r="225" spans="1:13" hidden="1" outlineLevel="1" x14ac:dyDescent="0.3">
      <c r="A225" s="100" t="s">
        <v>918</v>
      </c>
      <c r="B225" s="101" t="s">
        <v>225</v>
      </c>
      <c r="C225" s="102"/>
      <c r="D225" s="105"/>
      <c r="E225" s="103"/>
      <c r="F225" s="103"/>
      <c r="G225" s="103"/>
      <c r="H225" s="103"/>
      <c r="I225" s="52"/>
      <c r="J225" s="104">
        <f>SUM(J226:J234)</f>
        <v>15203.060000000001</v>
      </c>
      <c r="K225" s="104"/>
      <c r="L225" s="104"/>
    </row>
    <row r="226" spans="1:13" s="8" customFormat="1" hidden="1" outlineLevel="2" x14ac:dyDescent="0.3">
      <c r="A226" s="75" t="s">
        <v>932</v>
      </c>
      <c r="B226" s="146" t="s">
        <v>760</v>
      </c>
      <c r="C226" s="157" t="s">
        <v>77</v>
      </c>
      <c r="D226" s="157"/>
      <c r="E226" s="220"/>
      <c r="F226" s="221"/>
      <c r="G226" s="221"/>
      <c r="H226" s="221"/>
      <c r="I226" s="221"/>
      <c r="J226" s="221"/>
      <c r="K226" s="221"/>
      <c r="L226" s="222"/>
    </row>
    <row r="227" spans="1:13" s="8" customFormat="1" ht="29" hidden="1" outlineLevel="2" x14ac:dyDescent="0.3">
      <c r="A227" s="75" t="s">
        <v>933</v>
      </c>
      <c r="B227" s="76" t="s">
        <v>758</v>
      </c>
      <c r="C227" s="77" t="s">
        <v>77</v>
      </c>
      <c r="D227" s="77">
        <v>34</v>
      </c>
      <c r="E227" s="99"/>
      <c r="F227" s="99"/>
      <c r="G227" s="97"/>
      <c r="H227" s="97"/>
      <c r="I227" s="98"/>
      <c r="J227" s="121"/>
      <c r="K227" s="122" t="s">
        <v>759</v>
      </c>
      <c r="L227" s="122" t="s">
        <v>707</v>
      </c>
    </row>
    <row r="228" spans="1:13" s="8" customFormat="1" hidden="1" outlineLevel="2" x14ac:dyDescent="0.3">
      <c r="A228" s="75" t="s">
        <v>934</v>
      </c>
      <c r="B228" s="76" t="s">
        <v>761</v>
      </c>
      <c r="C228" s="77" t="s">
        <v>77</v>
      </c>
      <c r="D228" s="77">
        <v>1</v>
      </c>
      <c r="E228" s="99">
        <v>211.53</v>
      </c>
      <c r="F228" s="99">
        <v>12.51</v>
      </c>
      <c r="G228" s="97">
        <v>224.04</v>
      </c>
      <c r="H228" s="97"/>
      <c r="I228" s="98"/>
      <c r="J228" s="87">
        <f t="shared" ref="J228:J231" si="21">G228*D228</f>
        <v>224.04</v>
      </c>
      <c r="K228" s="80" t="s">
        <v>857</v>
      </c>
      <c r="L228" s="80" t="s">
        <v>707</v>
      </c>
      <c r="M228" s="3"/>
    </row>
    <row r="229" spans="1:13" hidden="1" outlineLevel="2" x14ac:dyDescent="0.3">
      <c r="A229" s="75" t="s">
        <v>935</v>
      </c>
      <c r="B229" s="76" t="s">
        <v>227</v>
      </c>
      <c r="C229" s="77" t="s">
        <v>77</v>
      </c>
      <c r="D229" s="77">
        <v>4</v>
      </c>
      <c r="E229" s="99">
        <v>2939.35</v>
      </c>
      <c r="F229" s="99">
        <v>31.64</v>
      </c>
      <c r="G229" s="97">
        <v>2970.99</v>
      </c>
      <c r="H229" s="97"/>
      <c r="I229" s="98"/>
      <c r="J229" s="87">
        <f t="shared" si="21"/>
        <v>11883.96</v>
      </c>
      <c r="K229" s="80" t="s">
        <v>858</v>
      </c>
      <c r="L229" s="80" t="s">
        <v>707</v>
      </c>
      <c r="M229" s="3"/>
    </row>
    <row r="230" spans="1:13" hidden="1" outlineLevel="2" x14ac:dyDescent="0.3">
      <c r="A230" s="75" t="s">
        <v>936</v>
      </c>
      <c r="B230" s="76" t="s">
        <v>155</v>
      </c>
      <c r="C230" s="77" t="s">
        <v>77</v>
      </c>
      <c r="D230" s="77">
        <v>2</v>
      </c>
      <c r="E230" s="99">
        <v>9.41</v>
      </c>
      <c r="F230" s="99">
        <v>15.02</v>
      </c>
      <c r="G230" s="97">
        <v>24.43</v>
      </c>
      <c r="H230" s="97"/>
      <c r="I230" s="98"/>
      <c r="J230" s="87">
        <f t="shared" si="21"/>
        <v>48.86</v>
      </c>
      <c r="K230" s="80" t="s">
        <v>859</v>
      </c>
      <c r="L230" s="80" t="s">
        <v>707</v>
      </c>
      <c r="M230" s="3"/>
    </row>
    <row r="231" spans="1:13" hidden="1" outlineLevel="2" x14ac:dyDescent="0.3">
      <c r="A231" s="75" t="s">
        <v>937</v>
      </c>
      <c r="B231" s="76" t="s">
        <v>762</v>
      </c>
      <c r="C231" s="77" t="s">
        <v>77</v>
      </c>
      <c r="D231" s="77">
        <v>4</v>
      </c>
      <c r="E231" s="99"/>
      <c r="F231" s="99"/>
      <c r="G231" s="97">
        <v>761.55</v>
      </c>
      <c r="H231" s="97"/>
      <c r="I231" s="98"/>
      <c r="J231" s="87">
        <f t="shared" si="21"/>
        <v>3046.2</v>
      </c>
      <c r="K231" s="80" t="s">
        <v>860</v>
      </c>
      <c r="L231" s="80" t="s">
        <v>705</v>
      </c>
      <c r="M231" s="3"/>
    </row>
    <row r="232" spans="1:13" hidden="1" outlineLevel="2" x14ac:dyDescent="0.3">
      <c r="A232" s="75" t="s">
        <v>938</v>
      </c>
      <c r="B232" s="146" t="s">
        <v>763</v>
      </c>
      <c r="C232" s="157" t="s">
        <v>77</v>
      </c>
      <c r="D232" s="157" t="s">
        <v>766</v>
      </c>
      <c r="E232" s="53"/>
      <c r="F232" s="53"/>
      <c r="G232" s="54"/>
      <c r="H232" s="54"/>
      <c r="I232" s="55"/>
      <c r="J232" s="56"/>
      <c r="K232" s="131"/>
      <c r="L232" s="131"/>
    </row>
    <row r="233" spans="1:13" hidden="1" outlineLevel="2" x14ac:dyDescent="0.3">
      <c r="A233" s="75" t="s">
        <v>939</v>
      </c>
      <c r="B233" s="146" t="s">
        <v>764</v>
      </c>
      <c r="C233" s="157" t="s">
        <v>77</v>
      </c>
      <c r="D233" s="157" t="s">
        <v>766</v>
      </c>
      <c r="E233" s="53"/>
      <c r="F233" s="53"/>
      <c r="G233" s="54"/>
      <c r="H233" s="54"/>
      <c r="I233" s="55"/>
      <c r="J233" s="56"/>
      <c r="K233" s="131"/>
      <c r="L233" s="131"/>
    </row>
    <row r="234" spans="1:13" hidden="1" outlineLevel="2" x14ac:dyDescent="0.3">
      <c r="A234" s="75" t="s">
        <v>940</v>
      </c>
      <c r="B234" s="146" t="s">
        <v>765</v>
      </c>
      <c r="C234" s="157" t="s">
        <v>77</v>
      </c>
      <c r="D234" s="157" t="s">
        <v>766</v>
      </c>
      <c r="E234" s="53"/>
      <c r="F234" s="53"/>
      <c r="G234" s="54"/>
      <c r="H234" s="54"/>
      <c r="I234" s="55"/>
      <c r="J234" s="56"/>
      <c r="K234" s="131"/>
      <c r="L234" s="131"/>
    </row>
    <row r="235" spans="1:13" hidden="1" outlineLevel="2" x14ac:dyDescent="0.3">
      <c r="A235" s="75" t="s">
        <v>941</v>
      </c>
      <c r="B235" s="76" t="s">
        <v>226</v>
      </c>
      <c r="C235" s="77" t="s">
        <v>77</v>
      </c>
      <c r="D235" s="157" t="s">
        <v>766</v>
      </c>
      <c r="E235" s="35"/>
      <c r="F235" s="35"/>
      <c r="G235" s="31"/>
      <c r="H235" s="31"/>
      <c r="I235" s="32"/>
      <c r="J235" s="34"/>
      <c r="K235" s="45"/>
      <c r="L235" s="44"/>
      <c r="M235" s="3"/>
    </row>
    <row r="236" spans="1:13" hidden="1" outlineLevel="2" x14ac:dyDescent="0.3">
      <c r="A236" s="75" t="s">
        <v>942</v>
      </c>
      <c r="B236" s="76" t="s">
        <v>769</v>
      </c>
      <c r="C236" s="77" t="s">
        <v>77</v>
      </c>
      <c r="D236" s="157" t="s">
        <v>766</v>
      </c>
      <c r="E236" s="35"/>
      <c r="F236" s="35"/>
      <c r="G236" s="31"/>
      <c r="H236" s="31"/>
      <c r="I236" s="32"/>
      <c r="J236" s="34"/>
      <c r="K236" s="45"/>
      <c r="L236" s="44"/>
      <c r="M236" s="3"/>
    </row>
    <row r="237" spans="1:13" hidden="1" outlineLevel="2" x14ac:dyDescent="0.3">
      <c r="A237" s="75" t="s">
        <v>943</v>
      </c>
      <c r="B237" s="76" t="s">
        <v>767</v>
      </c>
      <c r="C237" s="77" t="s">
        <v>77</v>
      </c>
      <c r="D237" s="157" t="s">
        <v>766</v>
      </c>
      <c r="E237" s="35"/>
      <c r="F237" s="35"/>
      <c r="G237" s="31"/>
      <c r="H237" s="31"/>
      <c r="I237" s="32"/>
      <c r="J237" s="34"/>
      <c r="K237" s="45"/>
      <c r="L237" s="44"/>
      <c r="M237" s="3"/>
    </row>
    <row r="238" spans="1:13" hidden="1" outlineLevel="2" x14ac:dyDescent="0.3">
      <c r="A238" s="75" t="s">
        <v>944</v>
      </c>
      <c r="B238" s="76" t="s">
        <v>768</v>
      </c>
      <c r="C238" s="77" t="s">
        <v>77</v>
      </c>
      <c r="D238" s="157" t="s">
        <v>766</v>
      </c>
      <c r="E238" s="35"/>
      <c r="F238" s="35"/>
      <c r="G238" s="31"/>
      <c r="H238" s="31"/>
      <c r="I238" s="32"/>
      <c r="J238" s="34"/>
      <c r="K238" s="45"/>
      <c r="L238" s="44"/>
      <c r="M238" s="3"/>
    </row>
    <row r="239" spans="1:13" s="13" customFormat="1" hidden="1" outlineLevel="1" x14ac:dyDescent="0.3">
      <c r="A239" s="100" t="s">
        <v>919</v>
      </c>
      <c r="B239" s="101" t="s">
        <v>772</v>
      </c>
      <c r="C239" s="102"/>
      <c r="D239" s="105"/>
      <c r="E239" s="103"/>
      <c r="F239" s="101"/>
      <c r="G239" s="129"/>
      <c r="H239" s="103"/>
      <c r="I239" s="52"/>
      <c r="J239" s="104">
        <f>SUM(J240:J245)</f>
        <v>22136.54</v>
      </c>
      <c r="K239" s="104"/>
      <c r="L239" s="104"/>
    </row>
    <row r="240" spans="1:13" s="13" customFormat="1" hidden="1" outlineLevel="2" x14ac:dyDescent="0.3">
      <c r="A240" s="75" t="s">
        <v>926</v>
      </c>
      <c r="B240" s="76" t="s">
        <v>129</v>
      </c>
      <c r="C240" s="77" t="s">
        <v>10</v>
      </c>
      <c r="D240" s="77">
        <f>44*3*2</f>
        <v>264</v>
      </c>
      <c r="E240" s="136"/>
      <c r="F240" s="136"/>
      <c r="G240" s="134">
        <v>39.39</v>
      </c>
      <c r="H240" s="134"/>
      <c r="I240" s="135"/>
      <c r="J240" s="87">
        <f t="shared" ref="J240:J244" si="22">G240*D240</f>
        <v>10398.960000000001</v>
      </c>
      <c r="K240" s="80" t="s">
        <v>818</v>
      </c>
      <c r="L240" s="80" t="s">
        <v>705</v>
      </c>
      <c r="M240" s="3"/>
    </row>
    <row r="241" spans="1:13" s="13" customFormat="1" hidden="1" outlineLevel="2" x14ac:dyDescent="0.3">
      <c r="A241" s="75" t="s">
        <v>927</v>
      </c>
      <c r="B241" s="76" t="s">
        <v>130</v>
      </c>
      <c r="C241" s="77" t="s">
        <v>10</v>
      </c>
      <c r="D241" s="77">
        <f>25*2</f>
        <v>50</v>
      </c>
      <c r="E241" s="136"/>
      <c r="F241" s="136"/>
      <c r="G241" s="134">
        <v>60.99</v>
      </c>
      <c r="H241" s="134"/>
      <c r="I241" s="135"/>
      <c r="J241" s="87">
        <f t="shared" si="22"/>
        <v>3049.5</v>
      </c>
      <c r="K241" s="80" t="s">
        <v>861</v>
      </c>
      <c r="L241" s="80" t="s">
        <v>705</v>
      </c>
      <c r="M241" s="3"/>
    </row>
    <row r="242" spans="1:13" s="13" customFormat="1" hidden="1" outlineLevel="2" x14ac:dyDescent="0.3">
      <c r="A242" s="75" t="s">
        <v>928</v>
      </c>
      <c r="B242" s="76" t="s">
        <v>131</v>
      </c>
      <c r="C242" s="77" t="s">
        <v>77</v>
      </c>
      <c r="D242" s="77">
        <v>40</v>
      </c>
      <c r="E242" s="136"/>
      <c r="F242" s="136"/>
      <c r="G242" s="134">
        <v>17.63</v>
      </c>
      <c r="H242" s="134"/>
      <c r="I242" s="135"/>
      <c r="J242" s="87">
        <f t="shared" si="22"/>
        <v>705.19999999999993</v>
      </c>
      <c r="K242" s="80" t="s">
        <v>817</v>
      </c>
      <c r="L242" s="80" t="s">
        <v>705</v>
      </c>
      <c r="M242" s="3"/>
    </row>
    <row r="243" spans="1:13" s="13" customFormat="1" hidden="1" outlineLevel="2" x14ac:dyDescent="0.3">
      <c r="A243" s="75" t="s">
        <v>929</v>
      </c>
      <c r="B243" s="76" t="s">
        <v>132</v>
      </c>
      <c r="C243" s="77" t="s">
        <v>77</v>
      </c>
      <c r="D243" s="77">
        <v>37</v>
      </c>
      <c r="E243" s="136"/>
      <c r="F243" s="136"/>
      <c r="G243" s="134">
        <v>110.53</v>
      </c>
      <c r="H243" s="134"/>
      <c r="I243" s="135"/>
      <c r="J243" s="135">
        <f t="shared" si="22"/>
        <v>4089.61</v>
      </c>
      <c r="K243" s="80" t="s">
        <v>862</v>
      </c>
      <c r="L243" s="80" t="s">
        <v>705</v>
      </c>
      <c r="M243" s="3"/>
    </row>
    <row r="244" spans="1:13" s="13" customFormat="1" hidden="1" outlineLevel="2" x14ac:dyDescent="0.3">
      <c r="A244" s="75" t="s">
        <v>930</v>
      </c>
      <c r="B244" s="76" t="s">
        <v>771</v>
      </c>
      <c r="C244" s="77" t="s">
        <v>77</v>
      </c>
      <c r="D244" s="77">
        <v>5</v>
      </c>
      <c r="E244" s="136"/>
      <c r="F244" s="136"/>
      <c r="G244" s="134">
        <v>495.15</v>
      </c>
      <c r="H244" s="134"/>
      <c r="I244" s="135"/>
      <c r="J244" s="135">
        <f t="shared" si="22"/>
        <v>2475.75</v>
      </c>
      <c r="K244" s="80" t="s">
        <v>863</v>
      </c>
      <c r="L244" s="80" t="s">
        <v>705</v>
      </c>
      <c r="M244" s="3"/>
    </row>
    <row r="245" spans="1:13" s="13" customFormat="1" hidden="1" outlineLevel="2" x14ac:dyDescent="0.3">
      <c r="A245" s="75" t="s">
        <v>931</v>
      </c>
      <c r="B245" s="76" t="s">
        <v>770</v>
      </c>
      <c r="C245" s="77" t="s">
        <v>77</v>
      </c>
      <c r="D245" s="77">
        <v>1</v>
      </c>
      <c r="E245" s="136"/>
      <c r="F245" s="136"/>
      <c r="G245" s="134">
        <v>1417.52</v>
      </c>
      <c r="H245" s="134"/>
      <c r="I245" s="135"/>
      <c r="J245" s="135">
        <f t="shared" ref="J245" si="23">G245*D245</f>
        <v>1417.52</v>
      </c>
      <c r="K245" s="80" t="s">
        <v>864</v>
      </c>
      <c r="L245" s="80" t="s">
        <v>705</v>
      </c>
      <c r="M245" s="7"/>
    </row>
    <row r="246" spans="1:13" s="13" customFormat="1" hidden="1" outlineLevel="1" x14ac:dyDescent="0.3">
      <c r="A246" s="100" t="s">
        <v>603</v>
      </c>
      <c r="B246" s="101" t="s">
        <v>945</v>
      </c>
      <c r="C246" s="102"/>
      <c r="D246" s="105" t="s">
        <v>156</v>
      </c>
      <c r="E246" s="103"/>
      <c r="F246" s="101"/>
      <c r="G246" s="129"/>
      <c r="H246" s="103"/>
      <c r="I246" s="52"/>
      <c r="J246" s="104"/>
      <c r="K246" s="104"/>
      <c r="L246" s="104"/>
    </row>
    <row r="247" spans="1:13" s="13" customFormat="1" hidden="1" outlineLevel="2" x14ac:dyDescent="0.3">
      <c r="A247" s="75" t="s">
        <v>604</v>
      </c>
      <c r="B247" s="76" t="s">
        <v>137</v>
      </c>
      <c r="C247" s="77" t="s">
        <v>77</v>
      </c>
      <c r="D247" s="77" t="s">
        <v>766</v>
      </c>
      <c r="E247" s="136"/>
      <c r="F247" s="136"/>
      <c r="G247" s="136"/>
      <c r="H247" s="136"/>
      <c r="I247" s="158"/>
      <c r="J247" s="159"/>
      <c r="K247" s="122"/>
      <c r="L247" s="122"/>
    </row>
    <row r="248" spans="1:13" s="13" customFormat="1" hidden="1" outlineLevel="2" x14ac:dyDescent="0.3">
      <c r="A248" s="75" t="s">
        <v>605</v>
      </c>
      <c r="B248" s="76" t="s">
        <v>228</v>
      </c>
      <c r="C248" s="77" t="s">
        <v>77</v>
      </c>
      <c r="D248" s="77" t="s">
        <v>766</v>
      </c>
      <c r="E248" s="136"/>
      <c r="F248" s="136"/>
      <c r="G248" s="136"/>
      <c r="H248" s="136"/>
      <c r="I248" s="158"/>
      <c r="J248" s="159"/>
      <c r="K248" s="122"/>
      <c r="L248" s="122"/>
    </row>
    <row r="249" spans="1:13" s="13" customFormat="1" hidden="1" outlineLevel="2" x14ac:dyDescent="0.3">
      <c r="A249" s="75" t="s">
        <v>606</v>
      </c>
      <c r="B249" s="76" t="s">
        <v>229</v>
      </c>
      <c r="C249" s="77" t="s">
        <v>77</v>
      </c>
      <c r="D249" s="77" t="s">
        <v>766</v>
      </c>
      <c r="E249" s="136"/>
      <c r="F249" s="136"/>
      <c r="G249" s="136"/>
      <c r="H249" s="136"/>
      <c r="I249" s="158"/>
      <c r="J249" s="159"/>
      <c r="K249" s="122"/>
      <c r="L249" s="122"/>
    </row>
    <row r="250" spans="1:13" s="13" customFormat="1" hidden="1" outlineLevel="2" x14ac:dyDescent="0.3">
      <c r="A250" s="75" t="s">
        <v>607</v>
      </c>
      <c r="B250" s="76" t="s">
        <v>230</v>
      </c>
      <c r="C250" s="77" t="s">
        <v>77</v>
      </c>
      <c r="D250" s="77" t="s">
        <v>766</v>
      </c>
      <c r="E250" s="136"/>
      <c r="F250" s="136"/>
      <c r="G250" s="136"/>
      <c r="H250" s="136"/>
      <c r="I250" s="158"/>
      <c r="J250" s="159"/>
      <c r="K250" s="122"/>
      <c r="L250" s="122"/>
    </row>
    <row r="251" spans="1:13" s="13" customFormat="1" hidden="1" outlineLevel="2" x14ac:dyDescent="0.3">
      <c r="A251" s="75" t="s">
        <v>608</v>
      </c>
      <c r="B251" s="76" t="s">
        <v>138</v>
      </c>
      <c r="C251" s="77" t="s">
        <v>77</v>
      </c>
      <c r="D251" s="77" t="s">
        <v>766</v>
      </c>
      <c r="E251" s="136"/>
      <c r="F251" s="136"/>
      <c r="G251" s="136"/>
      <c r="H251" s="136"/>
      <c r="I251" s="158"/>
      <c r="J251" s="159"/>
      <c r="K251" s="122"/>
      <c r="L251" s="122"/>
    </row>
    <row r="252" spans="1:13" s="13" customFormat="1" hidden="1" outlineLevel="2" x14ac:dyDescent="0.3">
      <c r="A252" s="75" t="s">
        <v>609</v>
      </c>
      <c r="B252" s="76" t="s">
        <v>139</v>
      </c>
      <c r="C252" s="77" t="s">
        <v>77</v>
      </c>
      <c r="D252" s="77" t="s">
        <v>766</v>
      </c>
      <c r="E252" s="136"/>
      <c r="F252" s="136"/>
      <c r="G252" s="136"/>
      <c r="H252" s="136"/>
      <c r="I252" s="158"/>
      <c r="J252" s="159"/>
      <c r="K252" s="122"/>
      <c r="L252" s="122"/>
    </row>
    <row r="253" spans="1:13" s="13" customFormat="1" hidden="1" outlineLevel="2" x14ac:dyDescent="0.3">
      <c r="A253" s="75" t="s">
        <v>921</v>
      </c>
      <c r="B253" s="76" t="s">
        <v>231</v>
      </c>
      <c r="C253" s="77" t="s">
        <v>77</v>
      </c>
      <c r="D253" s="77" t="s">
        <v>766</v>
      </c>
      <c r="E253" s="136"/>
      <c r="F253" s="136"/>
      <c r="G253" s="136"/>
      <c r="H253" s="136"/>
      <c r="I253" s="158"/>
      <c r="J253" s="159"/>
      <c r="K253" s="122"/>
      <c r="L253" s="122"/>
    </row>
    <row r="254" spans="1:13" s="13" customFormat="1" hidden="1" outlineLevel="2" x14ac:dyDescent="0.3">
      <c r="A254" s="75" t="s">
        <v>922</v>
      </c>
      <c r="B254" s="76" t="s">
        <v>232</v>
      </c>
      <c r="C254" s="77" t="s">
        <v>77</v>
      </c>
      <c r="D254" s="77" t="s">
        <v>766</v>
      </c>
      <c r="E254" s="136"/>
      <c r="F254" s="136"/>
      <c r="G254" s="136"/>
      <c r="H254" s="136"/>
      <c r="I254" s="158"/>
      <c r="J254" s="159"/>
      <c r="K254" s="122"/>
      <c r="L254" s="122"/>
    </row>
    <row r="255" spans="1:13" s="13" customFormat="1" hidden="1" outlineLevel="2" x14ac:dyDescent="0.3">
      <c r="A255" s="75" t="s">
        <v>923</v>
      </c>
      <c r="B255" s="76" t="s">
        <v>233</v>
      </c>
      <c r="C255" s="77" t="s">
        <v>10</v>
      </c>
      <c r="D255" s="77" t="s">
        <v>766</v>
      </c>
      <c r="E255" s="136"/>
      <c r="F255" s="136"/>
      <c r="G255" s="136"/>
      <c r="H255" s="136"/>
      <c r="I255" s="158"/>
      <c r="J255" s="159"/>
      <c r="K255" s="122"/>
      <c r="L255" s="122"/>
    </row>
    <row r="256" spans="1:13" s="13" customFormat="1" hidden="1" outlineLevel="2" x14ac:dyDescent="0.3">
      <c r="A256" s="75" t="s">
        <v>924</v>
      </c>
      <c r="B256" s="76" t="s">
        <v>234</v>
      </c>
      <c r="C256" s="77" t="s">
        <v>10</v>
      </c>
      <c r="D256" s="77" t="s">
        <v>766</v>
      </c>
      <c r="E256" s="136"/>
      <c r="F256" s="136"/>
      <c r="G256" s="136"/>
      <c r="H256" s="136"/>
      <c r="I256" s="158"/>
      <c r="J256" s="159"/>
      <c r="K256" s="122"/>
      <c r="L256" s="122"/>
    </row>
    <row r="257" spans="1:13" s="13" customFormat="1" hidden="1" outlineLevel="2" x14ac:dyDescent="0.3">
      <c r="A257" s="75" t="s">
        <v>925</v>
      </c>
      <c r="B257" s="76" t="s">
        <v>140</v>
      </c>
      <c r="C257" s="77" t="s">
        <v>77</v>
      </c>
      <c r="D257" s="77" t="s">
        <v>766</v>
      </c>
      <c r="E257" s="136"/>
      <c r="F257" s="136"/>
      <c r="G257" s="136"/>
      <c r="H257" s="136"/>
      <c r="I257" s="158"/>
      <c r="J257" s="159"/>
      <c r="K257" s="122"/>
      <c r="L257" s="122"/>
    </row>
    <row r="258" spans="1:13" s="19" customFormat="1" hidden="1" outlineLevel="1" x14ac:dyDescent="0.3">
      <c r="A258" s="100" t="s">
        <v>610</v>
      </c>
      <c r="B258" s="101" t="s">
        <v>920</v>
      </c>
      <c r="C258" s="119"/>
      <c r="D258" s="52"/>
      <c r="E258" s="103"/>
      <c r="F258" s="103"/>
      <c r="G258" s="103"/>
      <c r="H258" s="103"/>
      <c r="I258" s="52"/>
      <c r="J258" s="104"/>
      <c r="K258" s="104"/>
      <c r="L258" s="104"/>
    </row>
    <row r="259" spans="1:13" s="15" customFormat="1" hidden="1" outlineLevel="2" x14ac:dyDescent="0.3">
      <c r="A259" s="75" t="s">
        <v>610</v>
      </c>
      <c r="B259" s="76" t="s">
        <v>889</v>
      </c>
      <c r="C259" s="137"/>
      <c r="D259" s="137"/>
      <c r="E259" s="138"/>
      <c r="F259" s="138"/>
      <c r="G259" s="139"/>
      <c r="H259" s="139"/>
      <c r="I259" s="140"/>
      <c r="J259" s="121"/>
      <c r="K259" s="122"/>
      <c r="L259" s="122"/>
    </row>
    <row r="260" spans="1:13" s="15" customFormat="1" collapsed="1" x14ac:dyDescent="0.3">
      <c r="A260" s="92">
        <v>12</v>
      </c>
      <c r="B260" s="93" t="s">
        <v>27</v>
      </c>
      <c r="C260" s="94"/>
      <c r="D260" s="92"/>
      <c r="E260" s="95"/>
      <c r="F260" s="95"/>
      <c r="G260" s="95"/>
      <c r="H260" s="95"/>
      <c r="I260" s="95"/>
      <c r="J260" s="95">
        <f>SUM(J261:J274)</f>
        <v>25980.670000000002</v>
      </c>
      <c r="K260" s="95"/>
      <c r="L260" s="95"/>
    </row>
    <row r="261" spans="1:13" outlineLevel="2" x14ac:dyDescent="0.3">
      <c r="A261" s="75" t="s">
        <v>611</v>
      </c>
      <c r="B261" s="76" t="s">
        <v>110</v>
      </c>
      <c r="C261" s="77" t="s">
        <v>77</v>
      </c>
      <c r="D261" s="77">
        <v>1</v>
      </c>
      <c r="E261" s="97"/>
      <c r="F261" s="97"/>
      <c r="G261" s="97">
        <v>285.82</v>
      </c>
      <c r="H261" s="97"/>
      <c r="I261" s="98"/>
      <c r="J261" s="98">
        <f t="shared" ref="J261:J267" si="24">G261*D261</f>
        <v>285.82</v>
      </c>
      <c r="K261" s="80" t="s">
        <v>865</v>
      </c>
      <c r="L261" s="80" t="s">
        <v>705</v>
      </c>
      <c r="M261" s="3"/>
    </row>
    <row r="262" spans="1:13" outlineLevel="2" x14ac:dyDescent="0.3">
      <c r="A262" s="75" t="s">
        <v>179</v>
      </c>
      <c r="B262" s="76" t="s">
        <v>111</v>
      </c>
      <c r="C262" s="77" t="s">
        <v>77</v>
      </c>
      <c r="D262" s="77">
        <v>8</v>
      </c>
      <c r="E262" s="97"/>
      <c r="F262" s="97"/>
      <c r="G262" s="97">
        <v>163.38</v>
      </c>
      <c r="H262" s="97"/>
      <c r="I262" s="98"/>
      <c r="J262" s="98">
        <f t="shared" si="24"/>
        <v>1307.04</v>
      </c>
      <c r="K262" s="80" t="s">
        <v>866</v>
      </c>
      <c r="L262" s="80" t="s">
        <v>705</v>
      </c>
      <c r="M262" s="3"/>
    </row>
    <row r="263" spans="1:13" outlineLevel="2" x14ac:dyDescent="0.3">
      <c r="A263" s="75" t="s">
        <v>874</v>
      </c>
      <c r="B263" s="76" t="s">
        <v>112</v>
      </c>
      <c r="C263" s="77" t="s">
        <v>10</v>
      </c>
      <c r="D263" s="77">
        <v>15</v>
      </c>
      <c r="E263" s="97"/>
      <c r="F263" s="97"/>
      <c r="G263" s="97">
        <v>41.23</v>
      </c>
      <c r="H263" s="97"/>
      <c r="I263" s="98"/>
      <c r="J263" s="98">
        <f t="shared" si="24"/>
        <v>618.44999999999993</v>
      </c>
      <c r="K263" s="80" t="s">
        <v>867</v>
      </c>
      <c r="L263" s="80" t="s">
        <v>705</v>
      </c>
      <c r="M263" s="3"/>
    </row>
    <row r="264" spans="1:13" outlineLevel="2" x14ac:dyDescent="0.3">
      <c r="A264" s="75" t="s">
        <v>141</v>
      </c>
      <c r="B264" s="76" t="s">
        <v>207</v>
      </c>
      <c r="C264" s="77" t="s">
        <v>10</v>
      </c>
      <c r="D264" s="77">
        <v>215</v>
      </c>
      <c r="E264" s="97"/>
      <c r="F264" s="97"/>
      <c r="G264" s="97">
        <v>34.049999999999997</v>
      </c>
      <c r="H264" s="97"/>
      <c r="I264" s="98"/>
      <c r="J264" s="98">
        <f t="shared" si="24"/>
        <v>7320.7499999999991</v>
      </c>
      <c r="K264" s="80" t="s">
        <v>868</v>
      </c>
      <c r="L264" s="80" t="s">
        <v>705</v>
      </c>
      <c r="M264" s="3"/>
    </row>
    <row r="265" spans="1:13" ht="15.5" outlineLevel="2" x14ac:dyDescent="0.3">
      <c r="A265" s="75" t="s">
        <v>875</v>
      </c>
      <c r="B265" s="76" t="s">
        <v>235</v>
      </c>
      <c r="C265" s="77" t="s">
        <v>77</v>
      </c>
      <c r="D265" s="130">
        <v>1</v>
      </c>
      <c r="E265" s="97"/>
      <c r="F265" s="97"/>
      <c r="G265" s="97">
        <v>538.04</v>
      </c>
      <c r="H265" s="97"/>
      <c r="I265" s="98"/>
      <c r="J265" s="98">
        <f t="shared" si="24"/>
        <v>538.04</v>
      </c>
      <c r="K265" s="80" t="s">
        <v>869</v>
      </c>
      <c r="L265" s="80" t="s">
        <v>707</v>
      </c>
      <c r="M265" s="3"/>
    </row>
    <row r="266" spans="1:13" ht="15.5" outlineLevel="2" x14ac:dyDescent="0.3">
      <c r="A266" s="75" t="s">
        <v>876</v>
      </c>
      <c r="B266" s="76" t="s">
        <v>236</v>
      </c>
      <c r="C266" s="77" t="s">
        <v>10</v>
      </c>
      <c r="D266" s="130">
        <v>432</v>
      </c>
      <c r="E266" s="97"/>
      <c r="F266" s="97"/>
      <c r="G266" s="97">
        <v>34.049999999999997</v>
      </c>
      <c r="H266" s="97"/>
      <c r="I266" s="98"/>
      <c r="J266" s="98">
        <f t="shared" si="24"/>
        <v>14709.599999999999</v>
      </c>
      <c r="K266" s="80" t="s">
        <v>868</v>
      </c>
      <c r="L266" s="80" t="s">
        <v>705</v>
      </c>
      <c r="M266" s="3"/>
    </row>
    <row r="267" spans="1:13" outlineLevel="2" x14ac:dyDescent="0.3">
      <c r="A267" s="75" t="s">
        <v>877</v>
      </c>
      <c r="B267" s="76" t="s">
        <v>280</v>
      </c>
      <c r="C267" s="77" t="s">
        <v>77</v>
      </c>
      <c r="D267" s="77">
        <v>1</v>
      </c>
      <c r="E267" s="97"/>
      <c r="F267" s="97"/>
      <c r="G267" s="97">
        <v>868.91</v>
      </c>
      <c r="H267" s="97"/>
      <c r="I267" s="98"/>
      <c r="J267" s="98">
        <f t="shared" si="24"/>
        <v>868.91</v>
      </c>
      <c r="K267" s="80" t="s">
        <v>870</v>
      </c>
      <c r="L267" s="80" t="s">
        <v>705</v>
      </c>
      <c r="M267" s="3"/>
    </row>
    <row r="268" spans="1:13" outlineLevel="2" x14ac:dyDescent="0.3">
      <c r="A268" s="75" t="s">
        <v>612</v>
      </c>
      <c r="B268" s="76" t="s">
        <v>194</v>
      </c>
      <c r="C268" s="77" t="s">
        <v>77</v>
      </c>
      <c r="D268" s="77">
        <v>1</v>
      </c>
      <c r="E268" s="97"/>
      <c r="F268" s="97"/>
      <c r="G268" s="97"/>
      <c r="H268" s="97"/>
      <c r="I268" s="98"/>
      <c r="J268" s="98"/>
      <c r="K268" s="80"/>
      <c r="L268" s="80"/>
      <c r="M268" s="3"/>
    </row>
    <row r="269" spans="1:13" outlineLevel="2" x14ac:dyDescent="0.3">
      <c r="A269" s="75" t="s">
        <v>613</v>
      </c>
      <c r="B269" s="76" t="s">
        <v>113</v>
      </c>
      <c r="C269" s="77" t="s">
        <v>77</v>
      </c>
      <c r="D269" s="77">
        <v>2</v>
      </c>
      <c r="E269" s="97"/>
      <c r="F269" s="97"/>
      <c r="G269" s="97">
        <v>19.29</v>
      </c>
      <c r="H269" s="97"/>
      <c r="I269" s="98"/>
      <c r="J269" s="98">
        <f>G269*D269</f>
        <v>38.58</v>
      </c>
      <c r="K269" s="80" t="s">
        <v>871</v>
      </c>
      <c r="L269" s="80" t="s">
        <v>705</v>
      </c>
      <c r="M269" s="3"/>
    </row>
    <row r="270" spans="1:13" outlineLevel="2" x14ac:dyDescent="0.3">
      <c r="A270" s="75" t="s">
        <v>614</v>
      </c>
      <c r="B270" s="76" t="s">
        <v>114</v>
      </c>
      <c r="C270" s="77" t="s">
        <v>77</v>
      </c>
      <c r="D270" s="77">
        <v>1</v>
      </c>
      <c r="E270" s="97"/>
      <c r="F270" s="97"/>
      <c r="G270" s="97">
        <v>19.29</v>
      </c>
      <c r="H270" s="97"/>
      <c r="I270" s="98"/>
      <c r="J270" s="98">
        <f>G270*D270</f>
        <v>19.29</v>
      </c>
      <c r="K270" s="80" t="s">
        <v>871</v>
      </c>
      <c r="L270" s="80" t="s">
        <v>705</v>
      </c>
      <c r="M270" s="3"/>
    </row>
    <row r="271" spans="1:13" outlineLevel="2" x14ac:dyDescent="0.3">
      <c r="A271" s="75" t="s">
        <v>615</v>
      </c>
      <c r="B271" s="76" t="s">
        <v>115</v>
      </c>
      <c r="C271" s="77" t="s">
        <v>77</v>
      </c>
      <c r="D271" s="77">
        <v>1</v>
      </c>
      <c r="E271" s="97"/>
      <c r="F271" s="97"/>
      <c r="G271" s="97">
        <v>19.29</v>
      </c>
      <c r="H271" s="97"/>
      <c r="I271" s="98"/>
      <c r="J271" s="98">
        <f>G271*D271</f>
        <v>19.29</v>
      </c>
      <c r="K271" s="80" t="s">
        <v>871</v>
      </c>
      <c r="L271" s="80" t="s">
        <v>705</v>
      </c>
      <c r="M271" s="3"/>
    </row>
    <row r="272" spans="1:13" outlineLevel="2" x14ac:dyDescent="0.3">
      <c r="A272" s="75" t="s">
        <v>616</v>
      </c>
      <c r="B272" s="76" t="s">
        <v>116</v>
      </c>
      <c r="C272" s="77" t="s">
        <v>77</v>
      </c>
      <c r="D272" s="77">
        <v>1</v>
      </c>
      <c r="E272" s="97"/>
      <c r="F272" s="97"/>
      <c r="G272" s="97">
        <v>162.52000000000001</v>
      </c>
      <c r="H272" s="97"/>
      <c r="I272" s="98"/>
      <c r="J272" s="98">
        <f>G272*D272</f>
        <v>162.52000000000001</v>
      </c>
      <c r="K272" s="80" t="s">
        <v>872</v>
      </c>
      <c r="L272" s="80" t="s">
        <v>705</v>
      </c>
      <c r="M272" s="3"/>
    </row>
    <row r="273" spans="1:13" outlineLevel="2" x14ac:dyDescent="0.3">
      <c r="A273" s="75" t="s">
        <v>617</v>
      </c>
      <c r="B273" s="76" t="s">
        <v>117</v>
      </c>
      <c r="C273" s="77" t="s">
        <v>77</v>
      </c>
      <c r="D273" s="77">
        <v>1</v>
      </c>
      <c r="E273" s="97"/>
      <c r="F273" s="97"/>
      <c r="G273" s="97"/>
      <c r="H273" s="97"/>
      <c r="I273" s="98"/>
      <c r="J273" s="98"/>
      <c r="K273" s="80"/>
      <c r="L273" s="80"/>
      <c r="M273" s="3"/>
    </row>
    <row r="274" spans="1:13" outlineLevel="2" x14ac:dyDescent="0.3">
      <c r="A274" s="75" t="s">
        <v>618</v>
      </c>
      <c r="B274" s="76" t="s">
        <v>118</v>
      </c>
      <c r="C274" s="77" t="s">
        <v>77</v>
      </c>
      <c r="D274" s="77">
        <v>1</v>
      </c>
      <c r="E274" s="97"/>
      <c r="F274" s="97"/>
      <c r="G274" s="132">
        <v>92.38</v>
      </c>
      <c r="H274" s="97"/>
      <c r="I274" s="98"/>
      <c r="J274" s="98">
        <f>92.38*D274</f>
        <v>92.38</v>
      </c>
      <c r="K274" s="109" t="s">
        <v>873</v>
      </c>
      <c r="L274" s="109" t="s">
        <v>707</v>
      </c>
      <c r="M274" s="3"/>
    </row>
    <row r="275" spans="1:13" s="8" customFormat="1" x14ac:dyDescent="0.3">
      <c r="A275" s="92">
        <v>13</v>
      </c>
      <c r="B275" s="93" t="s">
        <v>28</v>
      </c>
      <c r="C275" s="94"/>
      <c r="D275" s="92"/>
      <c r="E275" s="95"/>
      <c r="F275" s="95"/>
      <c r="G275" s="95"/>
      <c r="H275" s="95"/>
      <c r="I275" s="95"/>
      <c r="J275" s="95">
        <f>J276+J317+J320+J337+J344</f>
        <v>565669.34551999997</v>
      </c>
      <c r="K275" s="95"/>
      <c r="L275" s="95"/>
    </row>
    <row r="276" spans="1:13" s="20" customFormat="1" hidden="1" outlineLevel="1" x14ac:dyDescent="0.3">
      <c r="A276" s="100" t="s">
        <v>133</v>
      </c>
      <c r="B276" s="101" t="s">
        <v>224</v>
      </c>
      <c r="C276" s="110"/>
      <c r="D276" s="102"/>
      <c r="E276" s="111"/>
      <c r="F276" s="111"/>
      <c r="G276" s="111"/>
      <c r="H276" s="111"/>
      <c r="I276" s="110"/>
      <c r="J276" s="104">
        <f>SUM(J277:J316)</f>
        <v>2899.76</v>
      </c>
      <c r="K276" s="112"/>
      <c r="L276" s="112"/>
    </row>
    <row r="277" spans="1:13" s="8" customFormat="1" hidden="1" outlineLevel="2" x14ac:dyDescent="0.3">
      <c r="A277" s="75" t="s">
        <v>619</v>
      </c>
      <c r="B277" s="146" t="s">
        <v>237</v>
      </c>
      <c r="C277" s="157" t="s">
        <v>262</v>
      </c>
      <c r="D277" s="157"/>
      <c r="E277" s="170"/>
      <c r="F277" s="171"/>
      <c r="G277" s="171"/>
      <c r="H277" s="171"/>
      <c r="I277" s="171"/>
      <c r="J277" s="171"/>
      <c r="K277" s="171"/>
      <c r="L277" s="172"/>
    </row>
    <row r="278" spans="1:13" s="8" customFormat="1" hidden="1" outlineLevel="2" x14ac:dyDescent="0.3">
      <c r="A278" s="75" t="s">
        <v>987</v>
      </c>
      <c r="B278" s="76" t="s">
        <v>238</v>
      </c>
      <c r="C278" s="77" t="s">
        <v>10</v>
      </c>
      <c r="D278" s="77"/>
      <c r="E278" s="99"/>
      <c r="F278" s="99"/>
      <c r="G278" s="97"/>
      <c r="H278" s="97"/>
      <c r="I278" s="98"/>
      <c r="J278" s="121"/>
      <c r="K278" s="122"/>
      <c r="L278" s="122"/>
    </row>
    <row r="279" spans="1:13" s="8" customFormat="1" hidden="1" outlineLevel="2" x14ac:dyDescent="0.3">
      <c r="A279" s="75" t="s">
        <v>988</v>
      </c>
      <c r="B279" s="76" t="s">
        <v>92</v>
      </c>
      <c r="C279" s="77" t="s">
        <v>10</v>
      </c>
      <c r="D279" s="77"/>
      <c r="E279" s="99"/>
      <c r="F279" s="99"/>
      <c r="G279" s="97"/>
      <c r="H279" s="97"/>
      <c r="I279" s="98"/>
      <c r="J279" s="121"/>
      <c r="K279" s="122"/>
      <c r="L279" s="122"/>
    </row>
    <row r="280" spans="1:13" s="8" customFormat="1" hidden="1" outlineLevel="2" x14ac:dyDescent="0.3">
      <c r="A280" s="75" t="s">
        <v>989</v>
      </c>
      <c r="B280" s="76" t="s">
        <v>94</v>
      </c>
      <c r="C280" s="77" t="s">
        <v>10</v>
      </c>
      <c r="D280" s="77"/>
      <c r="E280" s="99"/>
      <c r="F280" s="99"/>
      <c r="G280" s="97"/>
      <c r="H280" s="97"/>
      <c r="I280" s="98"/>
      <c r="J280" s="121"/>
      <c r="K280" s="122"/>
      <c r="L280" s="122"/>
    </row>
    <row r="281" spans="1:13" s="8" customFormat="1" hidden="1" outlineLevel="2" x14ac:dyDescent="0.3">
      <c r="A281" s="75" t="s">
        <v>990</v>
      </c>
      <c r="B281" s="76" t="s">
        <v>93</v>
      </c>
      <c r="C281" s="77" t="s">
        <v>10</v>
      </c>
      <c r="D281" s="77"/>
      <c r="E281" s="99"/>
      <c r="F281" s="99"/>
      <c r="G281" s="97"/>
      <c r="H281" s="97"/>
      <c r="I281" s="98"/>
      <c r="J281" s="121"/>
      <c r="K281" s="122"/>
      <c r="L281" s="122"/>
    </row>
    <row r="282" spans="1:13" s="8" customFormat="1" hidden="1" outlineLevel="2" x14ac:dyDescent="0.3">
      <c r="A282" s="75" t="s">
        <v>991</v>
      </c>
      <c r="B282" s="76" t="s">
        <v>775</v>
      </c>
      <c r="C282" s="77" t="s">
        <v>10</v>
      </c>
      <c r="D282" s="77">
        <v>20</v>
      </c>
      <c r="E282" s="99"/>
      <c r="F282" s="99"/>
      <c r="G282" s="97">
        <v>12.1</v>
      </c>
      <c r="H282" s="97"/>
      <c r="I282" s="98"/>
      <c r="J282" s="98">
        <f>G282*D282</f>
        <v>242</v>
      </c>
      <c r="K282" s="80"/>
      <c r="L282" s="80"/>
    </row>
    <row r="283" spans="1:13" s="8" customFormat="1" hidden="1" outlineLevel="2" x14ac:dyDescent="0.3">
      <c r="A283" s="75" t="s">
        <v>992</v>
      </c>
      <c r="B283" s="76" t="s">
        <v>779</v>
      </c>
      <c r="C283" s="77" t="s">
        <v>10</v>
      </c>
      <c r="D283" s="77">
        <v>60</v>
      </c>
      <c r="E283" s="99"/>
      <c r="F283" s="99"/>
      <c r="G283" s="97">
        <v>13.11</v>
      </c>
      <c r="H283" s="97"/>
      <c r="I283" s="98"/>
      <c r="J283" s="121">
        <f>G283*D283</f>
        <v>786.59999999999991</v>
      </c>
      <c r="K283" s="122"/>
      <c r="L283" s="122"/>
    </row>
    <row r="284" spans="1:13" s="8" customFormat="1" hidden="1" outlineLevel="2" x14ac:dyDescent="0.3">
      <c r="A284" s="75" t="s">
        <v>993</v>
      </c>
      <c r="B284" s="76" t="s">
        <v>239</v>
      </c>
      <c r="C284" s="77" t="s">
        <v>77</v>
      </c>
      <c r="D284" s="77"/>
      <c r="E284" s="99"/>
      <c r="F284" s="99"/>
      <c r="G284" s="97"/>
      <c r="H284" s="97"/>
      <c r="I284" s="98"/>
      <c r="J284" s="121"/>
      <c r="K284" s="122"/>
      <c r="L284" s="122"/>
    </row>
    <row r="285" spans="1:13" s="8" customFormat="1" hidden="1" outlineLevel="2" x14ac:dyDescent="0.3">
      <c r="A285" s="75" t="s">
        <v>994</v>
      </c>
      <c r="B285" s="76" t="s">
        <v>240</v>
      </c>
      <c r="C285" s="77" t="s">
        <v>77</v>
      </c>
      <c r="D285" s="77"/>
      <c r="E285" s="99"/>
      <c r="F285" s="99"/>
      <c r="G285" s="97"/>
      <c r="H285" s="97"/>
      <c r="I285" s="98"/>
      <c r="J285" s="121"/>
      <c r="K285" s="122"/>
      <c r="L285" s="122"/>
    </row>
    <row r="286" spans="1:13" s="8" customFormat="1" hidden="1" outlineLevel="2" x14ac:dyDescent="0.3">
      <c r="A286" s="75" t="s">
        <v>995</v>
      </c>
      <c r="B286" s="76" t="s">
        <v>241</v>
      </c>
      <c r="C286" s="77" t="s">
        <v>77</v>
      </c>
      <c r="D286" s="77"/>
      <c r="E286" s="99"/>
      <c r="F286" s="99"/>
      <c r="G286" s="97"/>
      <c r="H286" s="97"/>
      <c r="I286" s="98"/>
      <c r="J286" s="121"/>
      <c r="K286" s="122"/>
      <c r="L286" s="122"/>
    </row>
    <row r="287" spans="1:13" s="8" customFormat="1" hidden="1" outlineLevel="2" x14ac:dyDescent="0.3">
      <c r="A287" s="75" t="s">
        <v>996</v>
      </c>
      <c r="B287" s="76" t="s">
        <v>242</v>
      </c>
      <c r="C287" s="77" t="s">
        <v>77</v>
      </c>
      <c r="D287" s="77"/>
      <c r="E287" s="99"/>
      <c r="F287" s="99"/>
      <c r="G287" s="97"/>
      <c r="H287" s="97"/>
      <c r="I287" s="98"/>
      <c r="J287" s="121"/>
      <c r="K287" s="122"/>
      <c r="L287" s="122"/>
    </row>
    <row r="288" spans="1:13" s="8" customFormat="1" hidden="1" outlineLevel="2" x14ac:dyDescent="0.3">
      <c r="A288" s="75" t="s">
        <v>997</v>
      </c>
      <c r="B288" s="76" t="s">
        <v>243</v>
      </c>
      <c r="C288" s="77" t="s">
        <v>77</v>
      </c>
      <c r="D288" s="77"/>
      <c r="E288" s="99"/>
      <c r="F288" s="99"/>
      <c r="G288" s="97"/>
      <c r="H288" s="97"/>
      <c r="I288" s="98"/>
      <c r="J288" s="121"/>
      <c r="K288" s="122"/>
      <c r="L288" s="122"/>
    </row>
    <row r="289" spans="1:12" s="8" customFormat="1" hidden="1" outlineLevel="2" x14ac:dyDescent="0.3">
      <c r="A289" s="75" t="s">
        <v>998</v>
      </c>
      <c r="B289" s="76" t="s">
        <v>244</v>
      </c>
      <c r="C289" s="77" t="s">
        <v>77</v>
      </c>
      <c r="D289" s="77"/>
      <c r="E289" s="99"/>
      <c r="F289" s="99"/>
      <c r="G289" s="97"/>
      <c r="H289" s="97"/>
      <c r="I289" s="98"/>
      <c r="J289" s="121"/>
      <c r="K289" s="122"/>
      <c r="L289" s="122"/>
    </row>
    <row r="290" spans="1:12" s="8" customFormat="1" hidden="1" outlineLevel="2" x14ac:dyDescent="0.3">
      <c r="A290" s="75" t="s">
        <v>999</v>
      </c>
      <c r="B290" s="76" t="s">
        <v>245</v>
      </c>
      <c r="C290" s="77" t="s">
        <v>77</v>
      </c>
      <c r="D290" s="77"/>
      <c r="E290" s="99"/>
      <c r="F290" s="99"/>
      <c r="G290" s="97"/>
      <c r="H290" s="97"/>
      <c r="I290" s="98"/>
      <c r="J290" s="121"/>
      <c r="K290" s="122"/>
      <c r="L290" s="122"/>
    </row>
    <row r="291" spans="1:12" s="8" customFormat="1" hidden="1" outlineLevel="2" x14ac:dyDescent="0.3">
      <c r="A291" s="75" t="s">
        <v>1000</v>
      </c>
      <c r="B291" s="76" t="s">
        <v>246</v>
      </c>
      <c r="C291" s="77" t="s">
        <v>77</v>
      </c>
      <c r="D291" s="77"/>
      <c r="E291" s="99"/>
      <c r="F291" s="99"/>
      <c r="G291" s="97"/>
      <c r="H291" s="97"/>
      <c r="I291" s="98"/>
      <c r="J291" s="121"/>
      <c r="K291" s="122"/>
      <c r="L291" s="122"/>
    </row>
    <row r="292" spans="1:12" s="8" customFormat="1" hidden="1" outlineLevel="2" x14ac:dyDescent="0.3">
      <c r="A292" s="75" t="s">
        <v>1001</v>
      </c>
      <c r="B292" s="76" t="s">
        <v>247</v>
      </c>
      <c r="C292" s="77" t="s">
        <v>77</v>
      </c>
      <c r="D292" s="77"/>
      <c r="E292" s="99"/>
      <c r="F292" s="99"/>
      <c r="G292" s="97"/>
      <c r="H292" s="97"/>
      <c r="I292" s="98"/>
      <c r="J292" s="121"/>
      <c r="K292" s="122"/>
      <c r="L292" s="122"/>
    </row>
    <row r="293" spans="1:12" s="8" customFormat="1" hidden="1" outlineLevel="2" x14ac:dyDescent="0.3">
      <c r="A293" s="75" t="s">
        <v>1002</v>
      </c>
      <c r="B293" s="76" t="s">
        <v>248</v>
      </c>
      <c r="C293" s="77" t="s">
        <v>77</v>
      </c>
      <c r="D293" s="77">
        <f>10</f>
        <v>10</v>
      </c>
      <c r="E293" s="99"/>
      <c r="F293" s="99"/>
      <c r="G293" s="97">
        <v>2.02</v>
      </c>
      <c r="H293" s="97"/>
      <c r="I293" s="98"/>
      <c r="J293" s="121">
        <f>G293*D293</f>
        <v>20.2</v>
      </c>
      <c r="K293" s="122"/>
      <c r="L293" s="122"/>
    </row>
    <row r="294" spans="1:12" s="8" customFormat="1" hidden="1" outlineLevel="2" x14ac:dyDescent="0.3">
      <c r="A294" s="75" t="s">
        <v>1003</v>
      </c>
      <c r="B294" s="76" t="s">
        <v>249</v>
      </c>
      <c r="C294" s="77" t="s">
        <v>77</v>
      </c>
      <c r="D294" s="77"/>
      <c r="E294" s="99"/>
      <c r="F294" s="99"/>
      <c r="G294" s="97"/>
      <c r="H294" s="97"/>
      <c r="I294" s="98"/>
      <c r="J294" s="121"/>
      <c r="K294" s="122"/>
      <c r="L294" s="122"/>
    </row>
    <row r="295" spans="1:12" s="8" customFormat="1" hidden="1" outlineLevel="2" x14ac:dyDescent="0.3">
      <c r="A295" s="75" t="s">
        <v>1004</v>
      </c>
      <c r="B295" s="76" t="s">
        <v>250</v>
      </c>
      <c r="C295" s="77" t="s">
        <v>77</v>
      </c>
      <c r="D295" s="77"/>
      <c r="E295" s="99"/>
      <c r="F295" s="99"/>
      <c r="G295" s="97"/>
      <c r="H295" s="97"/>
      <c r="I295" s="98"/>
      <c r="J295" s="121"/>
      <c r="K295" s="122"/>
      <c r="L295" s="122"/>
    </row>
    <row r="296" spans="1:12" s="8" customFormat="1" hidden="1" outlineLevel="2" x14ac:dyDescent="0.3">
      <c r="A296" s="75" t="s">
        <v>1005</v>
      </c>
      <c r="B296" s="76" t="s">
        <v>251</v>
      </c>
      <c r="C296" s="77" t="s">
        <v>77</v>
      </c>
      <c r="D296" s="77"/>
      <c r="E296" s="99"/>
      <c r="F296" s="99"/>
      <c r="G296" s="97"/>
      <c r="H296" s="97"/>
      <c r="I296" s="98"/>
      <c r="J296" s="121"/>
      <c r="K296" s="122"/>
      <c r="L296" s="122"/>
    </row>
    <row r="297" spans="1:12" s="8" customFormat="1" hidden="1" outlineLevel="2" x14ac:dyDescent="0.3">
      <c r="A297" s="75" t="s">
        <v>1006</v>
      </c>
      <c r="B297" s="76" t="s">
        <v>252</v>
      </c>
      <c r="C297" s="77" t="s">
        <v>77</v>
      </c>
      <c r="D297" s="77">
        <f>10</f>
        <v>10</v>
      </c>
      <c r="E297" s="99"/>
      <c r="F297" s="99"/>
      <c r="G297" s="97">
        <v>4.03</v>
      </c>
      <c r="H297" s="97"/>
      <c r="I297" s="98"/>
      <c r="J297" s="121">
        <f>G297*D297</f>
        <v>40.300000000000004</v>
      </c>
      <c r="K297" s="122"/>
      <c r="L297" s="122"/>
    </row>
    <row r="298" spans="1:12" s="8" customFormat="1" hidden="1" outlineLevel="2" x14ac:dyDescent="0.3">
      <c r="A298" s="75" t="s">
        <v>1007</v>
      </c>
      <c r="B298" s="76" t="s">
        <v>253</v>
      </c>
      <c r="C298" s="77" t="s">
        <v>77</v>
      </c>
      <c r="D298" s="77"/>
      <c r="E298" s="99"/>
      <c r="F298" s="99"/>
      <c r="G298" s="97"/>
      <c r="H298" s="97"/>
      <c r="I298" s="98"/>
      <c r="J298" s="121"/>
      <c r="K298" s="122"/>
      <c r="L298" s="122"/>
    </row>
    <row r="299" spans="1:12" s="8" customFormat="1" hidden="1" outlineLevel="2" x14ac:dyDescent="0.3">
      <c r="A299" s="75" t="s">
        <v>1008</v>
      </c>
      <c r="B299" s="76" t="s">
        <v>254</v>
      </c>
      <c r="C299" s="77" t="s">
        <v>77</v>
      </c>
      <c r="D299" s="77"/>
      <c r="E299" s="99"/>
      <c r="F299" s="99"/>
      <c r="G299" s="97"/>
      <c r="H299" s="97"/>
      <c r="I299" s="98"/>
      <c r="J299" s="121"/>
      <c r="K299" s="122"/>
      <c r="L299" s="122"/>
    </row>
    <row r="300" spans="1:12" s="8" customFormat="1" hidden="1" outlineLevel="2" x14ac:dyDescent="0.3">
      <c r="A300" s="75" t="s">
        <v>1009</v>
      </c>
      <c r="B300" s="76" t="s">
        <v>255</v>
      </c>
      <c r="C300" s="77" t="s">
        <v>77</v>
      </c>
      <c r="D300" s="77"/>
      <c r="E300" s="99"/>
      <c r="F300" s="99"/>
      <c r="G300" s="97"/>
      <c r="H300" s="97"/>
      <c r="I300" s="98"/>
      <c r="J300" s="121"/>
      <c r="K300" s="122"/>
      <c r="L300" s="122"/>
    </row>
    <row r="301" spans="1:12" s="8" customFormat="1" hidden="1" outlineLevel="2" x14ac:dyDescent="0.3">
      <c r="A301" s="75" t="s">
        <v>1010</v>
      </c>
      <c r="B301" s="76" t="s">
        <v>256</v>
      </c>
      <c r="C301" s="77" t="s">
        <v>77</v>
      </c>
      <c r="D301" s="77"/>
      <c r="E301" s="99"/>
      <c r="F301" s="99"/>
      <c r="G301" s="97"/>
      <c r="H301" s="97"/>
      <c r="I301" s="98"/>
      <c r="J301" s="121"/>
      <c r="K301" s="122"/>
      <c r="L301" s="122"/>
    </row>
    <row r="302" spans="1:12" s="8" customFormat="1" hidden="1" outlineLevel="2" x14ac:dyDescent="0.3">
      <c r="A302" s="75" t="s">
        <v>1011</v>
      </c>
      <c r="B302" s="76" t="s">
        <v>778</v>
      </c>
      <c r="C302" s="77" t="s">
        <v>77</v>
      </c>
      <c r="D302" s="77">
        <f>4+2</f>
        <v>6</v>
      </c>
      <c r="E302" s="99"/>
      <c r="F302" s="99"/>
      <c r="G302" s="97">
        <v>120.98</v>
      </c>
      <c r="H302" s="97"/>
      <c r="I302" s="98"/>
      <c r="J302" s="98">
        <f>G302*D302</f>
        <v>725.88</v>
      </c>
      <c r="K302" s="80"/>
      <c r="L302" s="80"/>
    </row>
    <row r="303" spans="1:12" s="8" customFormat="1" hidden="1" outlineLevel="2" x14ac:dyDescent="0.3">
      <c r="A303" s="75" t="s">
        <v>1012</v>
      </c>
      <c r="B303" s="76" t="s">
        <v>777</v>
      </c>
      <c r="C303" s="77" t="s">
        <v>77</v>
      </c>
      <c r="D303" s="77">
        <f>4+2</f>
        <v>6</v>
      </c>
      <c r="E303" s="99"/>
      <c r="F303" s="99"/>
      <c r="G303" s="97">
        <v>100.81</v>
      </c>
      <c r="H303" s="97"/>
      <c r="I303" s="98"/>
      <c r="J303" s="98">
        <f t="shared" ref="J303" si="25">G303*D303</f>
        <v>604.86</v>
      </c>
      <c r="K303" s="80"/>
      <c r="L303" s="80"/>
    </row>
    <row r="304" spans="1:12" s="8" customFormat="1" hidden="1" outlineLevel="2" x14ac:dyDescent="0.3">
      <c r="A304" s="75" t="s">
        <v>1013</v>
      </c>
      <c r="B304" s="76" t="s">
        <v>276</v>
      </c>
      <c r="C304" s="77" t="s">
        <v>77</v>
      </c>
      <c r="D304" s="77"/>
      <c r="E304" s="99"/>
      <c r="F304" s="99"/>
      <c r="G304" s="97"/>
      <c r="H304" s="97"/>
      <c r="I304" s="98"/>
      <c r="J304" s="121"/>
      <c r="K304" s="122"/>
      <c r="L304" s="122"/>
    </row>
    <row r="305" spans="1:13" s="8" customFormat="1" hidden="1" outlineLevel="2" x14ac:dyDescent="0.3">
      <c r="A305" s="75" t="s">
        <v>1014</v>
      </c>
      <c r="B305" s="76" t="s">
        <v>257</v>
      </c>
      <c r="C305" s="77" t="s">
        <v>77</v>
      </c>
      <c r="D305" s="77"/>
      <c r="E305" s="99"/>
      <c r="F305" s="99"/>
      <c r="G305" s="97"/>
      <c r="H305" s="97"/>
      <c r="I305" s="98"/>
      <c r="J305" s="121"/>
      <c r="K305" s="122"/>
      <c r="L305" s="122"/>
    </row>
    <row r="306" spans="1:13" s="8" customFormat="1" hidden="1" outlineLevel="2" x14ac:dyDescent="0.3">
      <c r="A306" s="75" t="s">
        <v>1015</v>
      </c>
      <c r="B306" s="76" t="s">
        <v>258</v>
      </c>
      <c r="C306" s="77" t="s">
        <v>77</v>
      </c>
      <c r="D306" s="77"/>
      <c r="E306" s="99"/>
      <c r="F306" s="99"/>
      <c r="G306" s="97"/>
      <c r="H306" s="97"/>
      <c r="I306" s="98"/>
      <c r="J306" s="121"/>
      <c r="K306" s="122"/>
      <c r="L306" s="122"/>
    </row>
    <row r="307" spans="1:13" s="8" customFormat="1" hidden="1" outlineLevel="2" x14ac:dyDescent="0.3">
      <c r="A307" s="75" t="s">
        <v>1016</v>
      </c>
      <c r="B307" s="76" t="s">
        <v>83</v>
      </c>
      <c r="C307" s="77" t="s">
        <v>77</v>
      </c>
      <c r="D307" s="77"/>
      <c r="E307" s="99"/>
      <c r="F307" s="99"/>
      <c r="G307" s="97"/>
      <c r="H307" s="97"/>
      <c r="I307" s="98"/>
      <c r="J307" s="121"/>
      <c r="K307" s="122"/>
      <c r="L307" s="122"/>
    </row>
    <row r="308" spans="1:13" s="8" customFormat="1" hidden="1" outlineLevel="2" x14ac:dyDescent="0.3">
      <c r="A308" s="75" t="s">
        <v>1017</v>
      </c>
      <c r="B308" s="76" t="s">
        <v>271</v>
      </c>
      <c r="C308" s="77" t="s">
        <v>77</v>
      </c>
      <c r="D308" s="77"/>
      <c r="E308" s="99"/>
      <c r="F308" s="99"/>
      <c r="G308" s="97"/>
      <c r="H308" s="97"/>
      <c r="I308" s="98"/>
      <c r="J308" s="121"/>
      <c r="K308" s="122"/>
      <c r="L308" s="122"/>
    </row>
    <row r="309" spans="1:13" s="8" customFormat="1" hidden="1" outlineLevel="2" x14ac:dyDescent="0.3">
      <c r="A309" s="75" t="s">
        <v>1018</v>
      </c>
      <c r="B309" s="76" t="s">
        <v>259</v>
      </c>
      <c r="C309" s="77" t="s">
        <v>77</v>
      </c>
      <c r="D309" s="77">
        <v>4</v>
      </c>
      <c r="E309" s="99"/>
      <c r="F309" s="99"/>
      <c r="G309" s="97">
        <v>34.28</v>
      </c>
      <c r="H309" s="97"/>
      <c r="I309" s="98"/>
      <c r="J309" s="98">
        <f t="shared" ref="J309" si="26">G309*D309</f>
        <v>137.12</v>
      </c>
      <c r="K309" s="109"/>
      <c r="L309" s="80"/>
      <c r="M309" s="3"/>
    </row>
    <row r="310" spans="1:13" s="8" customFormat="1" hidden="1" outlineLevel="2" x14ac:dyDescent="0.3">
      <c r="A310" s="75" t="s">
        <v>1019</v>
      </c>
      <c r="B310" s="76" t="s">
        <v>776</v>
      </c>
      <c r="C310" s="77" t="s">
        <v>77</v>
      </c>
      <c r="D310" s="77">
        <f>8+2</f>
        <v>10</v>
      </c>
      <c r="E310" s="99"/>
      <c r="F310" s="99"/>
      <c r="G310" s="97">
        <v>34.28</v>
      </c>
      <c r="H310" s="97"/>
      <c r="I310" s="98"/>
      <c r="J310" s="98">
        <f>G310*D310</f>
        <v>342.8</v>
      </c>
      <c r="K310" s="80"/>
      <c r="L310" s="80"/>
    </row>
    <row r="311" spans="1:13" s="8" customFormat="1" hidden="1" outlineLevel="2" x14ac:dyDescent="0.3">
      <c r="A311" s="75" t="s">
        <v>1020</v>
      </c>
      <c r="B311" s="76" t="s">
        <v>260</v>
      </c>
      <c r="C311" s="77" t="s">
        <v>77</v>
      </c>
      <c r="D311" s="77"/>
      <c r="E311" s="99"/>
      <c r="F311" s="99"/>
      <c r="G311" s="97"/>
      <c r="H311" s="97"/>
      <c r="I311" s="98"/>
      <c r="J311" s="121"/>
      <c r="K311" s="122"/>
      <c r="L311" s="122"/>
    </row>
    <row r="312" spans="1:13" s="8" customFormat="1" hidden="1" outlineLevel="2" x14ac:dyDescent="0.3">
      <c r="A312" s="75" t="s">
        <v>1021</v>
      </c>
      <c r="B312" s="76" t="s">
        <v>261</v>
      </c>
      <c r="C312" s="77" t="s">
        <v>77</v>
      </c>
      <c r="D312" s="77"/>
      <c r="E312" s="99"/>
      <c r="F312" s="99"/>
      <c r="G312" s="97"/>
      <c r="H312" s="97"/>
      <c r="I312" s="98"/>
      <c r="J312" s="121"/>
      <c r="K312" s="122"/>
      <c r="L312" s="122"/>
    </row>
    <row r="313" spans="1:13" s="8" customFormat="1" hidden="1" outlineLevel="2" x14ac:dyDescent="0.35">
      <c r="A313" s="75" t="s">
        <v>1022</v>
      </c>
      <c r="B313" s="160" t="s">
        <v>272</v>
      </c>
      <c r="C313" s="77" t="s">
        <v>77</v>
      </c>
      <c r="D313" s="77"/>
      <c r="E313" s="99"/>
      <c r="F313" s="99"/>
      <c r="G313" s="97"/>
      <c r="H313" s="97"/>
      <c r="I313" s="98"/>
      <c r="J313" s="121"/>
      <c r="K313" s="122"/>
      <c r="L313" s="122"/>
    </row>
    <row r="314" spans="1:13" s="8" customFormat="1" hidden="1" outlineLevel="2" x14ac:dyDescent="0.35">
      <c r="A314" s="75" t="s">
        <v>1023</v>
      </c>
      <c r="B314" s="160" t="s">
        <v>273</v>
      </c>
      <c r="C314" s="77" t="s">
        <v>77</v>
      </c>
      <c r="D314" s="77"/>
      <c r="E314" s="99"/>
      <c r="F314" s="99"/>
      <c r="G314" s="97"/>
      <c r="H314" s="97"/>
      <c r="I314" s="98"/>
      <c r="J314" s="121"/>
      <c r="K314" s="122"/>
      <c r="L314" s="122"/>
    </row>
    <row r="315" spans="1:13" s="8" customFormat="1" hidden="1" outlineLevel="2" x14ac:dyDescent="0.35">
      <c r="A315" s="75" t="s">
        <v>1024</v>
      </c>
      <c r="B315" s="160" t="s">
        <v>274</v>
      </c>
      <c r="C315" s="77" t="s">
        <v>77</v>
      </c>
      <c r="D315" s="77"/>
      <c r="E315" s="99"/>
      <c r="F315" s="99"/>
      <c r="G315" s="97"/>
      <c r="H315" s="97"/>
      <c r="I315" s="98"/>
      <c r="J315" s="121"/>
      <c r="K315" s="122"/>
      <c r="L315" s="122"/>
    </row>
    <row r="316" spans="1:13" s="8" customFormat="1" hidden="1" outlineLevel="2" x14ac:dyDescent="0.35">
      <c r="A316" s="75" t="s">
        <v>1025</v>
      </c>
      <c r="B316" s="160" t="s">
        <v>275</v>
      </c>
      <c r="C316" s="77" t="s">
        <v>77</v>
      </c>
      <c r="D316" s="77"/>
      <c r="E316" s="99"/>
      <c r="F316" s="99"/>
      <c r="G316" s="97"/>
      <c r="H316" s="97"/>
      <c r="I316" s="98"/>
      <c r="J316" s="121"/>
      <c r="K316" s="122"/>
      <c r="L316" s="122"/>
    </row>
    <row r="317" spans="1:13" s="20" customFormat="1" hidden="1" outlineLevel="1" x14ac:dyDescent="0.3">
      <c r="A317" s="100" t="s">
        <v>134</v>
      </c>
      <c r="B317" s="101" t="s">
        <v>774</v>
      </c>
      <c r="C317" s="110"/>
      <c r="D317" s="102"/>
      <c r="E317" s="111"/>
      <c r="F317" s="111"/>
      <c r="G317" s="111"/>
      <c r="H317" s="111"/>
      <c r="I317" s="110"/>
      <c r="J317" s="104">
        <f>SUM(J318:J319)</f>
        <v>111981.1</v>
      </c>
      <c r="K317" s="112"/>
      <c r="L317" s="112"/>
    </row>
    <row r="318" spans="1:13" s="8" customFormat="1" hidden="1" outlineLevel="2" x14ac:dyDescent="0.3">
      <c r="A318" s="75" t="s">
        <v>620</v>
      </c>
      <c r="B318" s="114" t="s">
        <v>983</v>
      </c>
      <c r="C318" s="77" t="s">
        <v>6</v>
      </c>
      <c r="D318" s="77">
        <v>4</v>
      </c>
      <c r="E318" s="99"/>
      <c r="F318" s="99"/>
      <c r="G318" s="97">
        <v>25000</v>
      </c>
      <c r="H318" s="97"/>
      <c r="I318" s="98"/>
      <c r="J318" s="121">
        <f>G318*D318</f>
        <v>100000</v>
      </c>
      <c r="K318" s="122"/>
      <c r="L318" s="122"/>
    </row>
    <row r="319" spans="1:13" s="8" customFormat="1" hidden="1" outlineLevel="2" x14ac:dyDescent="0.3">
      <c r="A319" s="75" t="s">
        <v>986</v>
      </c>
      <c r="B319" s="76" t="s">
        <v>773</v>
      </c>
      <c r="C319" s="77" t="s">
        <v>77</v>
      </c>
      <c r="D319" s="77">
        <v>2</v>
      </c>
      <c r="E319" s="99">
        <v>5708.91</v>
      </c>
      <c r="F319" s="99">
        <v>281.64</v>
      </c>
      <c r="G319" s="97">
        <v>5990.55</v>
      </c>
      <c r="H319" s="97"/>
      <c r="I319" s="98"/>
      <c r="J319" s="98">
        <f t="shared" ref="J319" si="27">G319*D319</f>
        <v>11981.1</v>
      </c>
      <c r="K319" s="122" t="s">
        <v>885</v>
      </c>
      <c r="L319" s="80" t="s">
        <v>707</v>
      </c>
    </row>
    <row r="320" spans="1:13" s="22" customFormat="1" hidden="1" outlineLevel="1" x14ac:dyDescent="0.3">
      <c r="A320" s="100" t="s">
        <v>135</v>
      </c>
      <c r="B320" s="101" t="s">
        <v>223</v>
      </c>
      <c r="C320" s="110"/>
      <c r="D320" s="110"/>
      <c r="E320" s="111"/>
      <c r="F320" s="111"/>
      <c r="G320" s="111"/>
      <c r="H320" s="111"/>
      <c r="I320" s="110"/>
      <c r="J320" s="104">
        <f>SUM(J321:J336)</f>
        <v>37473.090000000004</v>
      </c>
      <c r="K320" s="112"/>
      <c r="L320" s="112"/>
    </row>
    <row r="321" spans="1:13" hidden="1" outlineLevel="2" x14ac:dyDescent="0.3">
      <c r="A321" s="120" t="s">
        <v>621</v>
      </c>
      <c r="B321" s="169" t="s">
        <v>263</v>
      </c>
      <c r="C321" s="169"/>
      <c r="D321" s="169"/>
      <c r="E321" s="223"/>
      <c r="F321" s="224"/>
      <c r="G321" s="224"/>
      <c r="H321" s="224"/>
      <c r="I321" s="224"/>
      <c r="J321" s="224"/>
      <c r="K321" s="224"/>
      <c r="L321" s="225"/>
    </row>
    <row r="322" spans="1:13" hidden="1" outlineLevel="2" x14ac:dyDescent="0.3">
      <c r="A322" s="75" t="s">
        <v>622</v>
      </c>
      <c r="B322" s="114" t="s">
        <v>85</v>
      </c>
      <c r="C322" s="77" t="s">
        <v>10</v>
      </c>
      <c r="D322" s="77">
        <f>30</f>
        <v>30</v>
      </c>
      <c r="E322" s="99"/>
      <c r="F322" s="99"/>
      <c r="G322" s="97">
        <v>17.57</v>
      </c>
      <c r="H322" s="97"/>
      <c r="I322" s="98"/>
      <c r="J322" s="98">
        <f t="shared" ref="J322:J327" si="28">G322*D322</f>
        <v>527.1</v>
      </c>
      <c r="K322" s="80"/>
      <c r="L322" s="80"/>
      <c r="M322" s="3"/>
    </row>
    <row r="323" spans="1:13" hidden="1" outlineLevel="2" x14ac:dyDescent="0.3">
      <c r="A323" s="75" t="s">
        <v>623</v>
      </c>
      <c r="B323" s="114" t="s">
        <v>86</v>
      </c>
      <c r="C323" s="77" t="s">
        <v>10</v>
      </c>
      <c r="D323" s="77">
        <v>170</v>
      </c>
      <c r="E323" s="99"/>
      <c r="F323" s="99"/>
      <c r="G323" s="97">
        <v>25.15</v>
      </c>
      <c r="H323" s="97"/>
      <c r="I323" s="98"/>
      <c r="J323" s="98">
        <f t="shared" si="28"/>
        <v>4275.5</v>
      </c>
      <c r="K323" s="80"/>
      <c r="L323" s="80"/>
      <c r="M323" s="3"/>
    </row>
    <row r="324" spans="1:13" hidden="1" outlineLevel="2" x14ac:dyDescent="0.3">
      <c r="A324" s="75" t="s">
        <v>624</v>
      </c>
      <c r="B324" s="114" t="s">
        <v>87</v>
      </c>
      <c r="C324" s="77" t="s">
        <v>10</v>
      </c>
      <c r="D324" s="77">
        <f>210</f>
        <v>210</v>
      </c>
      <c r="E324" s="99"/>
      <c r="F324" s="99"/>
      <c r="G324" s="97">
        <v>36.840000000000003</v>
      </c>
      <c r="H324" s="97"/>
      <c r="I324" s="98"/>
      <c r="J324" s="98">
        <f t="shared" si="28"/>
        <v>7736.4000000000005</v>
      </c>
      <c r="K324" s="80"/>
      <c r="L324" s="80"/>
      <c r="M324" s="3"/>
    </row>
    <row r="325" spans="1:13" hidden="1" outlineLevel="2" x14ac:dyDescent="0.3">
      <c r="A325" s="75" t="s">
        <v>625</v>
      </c>
      <c r="B325" s="114" t="s">
        <v>88</v>
      </c>
      <c r="C325" s="77" t="s">
        <v>10</v>
      </c>
      <c r="D325" s="77">
        <v>210</v>
      </c>
      <c r="E325" s="99"/>
      <c r="F325" s="99"/>
      <c r="G325" s="97">
        <v>39.42</v>
      </c>
      <c r="H325" s="97"/>
      <c r="I325" s="98"/>
      <c r="J325" s="98">
        <f t="shared" si="28"/>
        <v>8278.2000000000007</v>
      </c>
      <c r="K325" s="80"/>
      <c r="L325" s="80"/>
      <c r="M325" s="3"/>
    </row>
    <row r="326" spans="1:13" hidden="1" outlineLevel="2" x14ac:dyDescent="0.3">
      <c r="A326" s="75" t="s">
        <v>626</v>
      </c>
      <c r="B326" s="114" t="s">
        <v>89</v>
      </c>
      <c r="C326" s="77" t="s">
        <v>77</v>
      </c>
      <c r="D326" s="77">
        <f>162*2</f>
        <v>324</v>
      </c>
      <c r="E326" s="99"/>
      <c r="F326" s="99"/>
      <c r="G326" s="97">
        <v>5.92</v>
      </c>
      <c r="H326" s="97"/>
      <c r="I326" s="98"/>
      <c r="J326" s="98">
        <f t="shared" si="28"/>
        <v>1918.08</v>
      </c>
      <c r="K326" s="80"/>
      <c r="L326" s="80"/>
      <c r="M326" s="3"/>
    </row>
    <row r="327" spans="1:13" hidden="1" outlineLevel="2" x14ac:dyDescent="0.3">
      <c r="A327" s="75" t="s">
        <v>627</v>
      </c>
      <c r="B327" s="114" t="s">
        <v>90</v>
      </c>
      <c r="C327" s="77" t="s">
        <v>77</v>
      </c>
      <c r="D327" s="77">
        <v>60</v>
      </c>
      <c r="E327" s="99"/>
      <c r="F327" s="99"/>
      <c r="G327" s="97">
        <v>28.76</v>
      </c>
      <c r="H327" s="97"/>
      <c r="I327" s="98"/>
      <c r="J327" s="98">
        <f t="shared" si="28"/>
        <v>1725.6000000000001</v>
      </c>
      <c r="K327" s="80"/>
      <c r="L327" s="80"/>
      <c r="M327" s="3"/>
    </row>
    <row r="328" spans="1:13" hidden="1" outlineLevel="2" x14ac:dyDescent="0.3">
      <c r="A328" s="75" t="s">
        <v>1026</v>
      </c>
      <c r="B328" s="114" t="s">
        <v>91</v>
      </c>
      <c r="C328" s="77" t="s">
        <v>77</v>
      </c>
      <c r="D328" s="77">
        <f>137+50</f>
        <v>187</v>
      </c>
      <c r="E328" s="99"/>
      <c r="F328" s="99"/>
      <c r="G328" s="97">
        <v>28.45</v>
      </c>
      <c r="H328" s="97"/>
      <c r="I328" s="98"/>
      <c r="J328" s="98">
        <f t="shared" ref="J328:J336" si="29">G328*D328</f>
        <v>5320.15</v>
      </c>
      <c r="K328" s="80"/>
      <c r="L328" s="80"/>
      <c r="M328" s="3"/>
    </row>
    <row r="329" spans="1:13" hidden="1" outlineLevel="2" x14ac:dyDescent="0.3">
      <c r="A329" s="75" t="s">
        <v>628</v>
      </c>
      <c r="B329" s="114" t="s">
        <v>95</v>
      </c>
      <c r="C329" s="77" t="s">
        <v>77</v>
      </c>
      <c r="D329" s="77">
        <v>30</v>
      </c>
      <c r="E329" s="99"/>
      <c r="F329" s="99"/>
      <c r="G329" s="97">
        <v>83.86</v>
      </c>
      <c r="H329" s="97"/>
      <c r="I329" s="98"/>
      <c r="J329" s="98">
        <f t="shared" si="29"/>
        <v>2515.8000000000002</v>
      </c>
      <c r="K329" s="80"/>
      <c r="L329" s="80"/>
      <c r="M329" s="3"/>
    </row>
    <row r="330" spans="1:13" hidden="1" outlineLevel="2" x14ac:dyDescent="0.3">
      <c r="A330" s="75" t="s">
        <v>1027</v>
      </c>
      <c r="B330" s="114" t="s">
        <v>82</v>
      </c>
      <c r="C330" s="77" t="s">
        <v>77</v>
      </c>
      <c r="D330" s="77">
        <v>30</v>
      </c>
      <c r="E330" s="99"/>
      <c r="F330" s="99"/>
      <c r="G330" s="97">
        <v>23.5</v>
      </c>
      <c r="H330" s="97"/>
      <c r="I330" s="98"/>
      <c r="J330" s="98">
        <f t="shared" si="29"/>
        <v>705</v>
      </c>
      <c r="K330" s="80"/>
      <c r="L330" s="80"/>
      <c r="M330" s="3"/>
    </row>
    <row r="331" spans="1:13" hidden="1" outlineLevel="2" x14ac:dyDescent="0.3">
      <c r="A331" s="75" t="s">
        <v>1028</v>
      </c>
      <c r="B331" s="114" t="s">
        <v>96</v>
      </c>
      <c r="C331" s="77" t="s">
        <v>77</v>
      </c>
      <c r="D331" s="77">
        <v>20</v>
      </c>
      <c r="E331" s="99"/>
      <c r="F331" s="99"/>
      <c r="G331" s="97">
        <v>13.89</v>
      </c>
      <c r="H331" s="97"/>
      <c r="I331" s="98"/>
      <c r="J331" s="98">
        <f t="shared" si="29"/>
        <v>277.8</v>
      </c>
      <c r="K331" s="80"/>
      <c r="L331" s="80"/>
      <c r="M331" s="3"/>
    </row>
    <row r="332" spans="1:13" hidden="1" outlineLevel="2" x14ac:dyDescent="0.3">
      <c r="A332" s="75" t="s">
        <v>1029</v>
      </c>
      <c r="B332" s="114" t="s">
        <v>97</v>
      </c>
      <c r="C332" s="77" t="s">
        <v>77</v>
      </c>
      <c r="D332" s="77">
        <f>30</f>
        <v>30</v>
      </c>
      <c r="E332" s="99"/>
      <c r="F332" s="99"/>
      <c r="G332" s="97">
        <v>16.14</v>
      </c>
      <c r="H332" s="97"/>
      <c r="I332" s="98"/>
      <c r="J332" s="98">
        <f t="shared" si="29"/>
        <v>484.20000000000005</v>
      </c>
      <c r="K332" s="80"/>
      <c r="L332" s="80"/>
      <c r="M332" s="3"/>
    </row>
    <row r="333" spans="1:13" hidden="1" outlineLevel="2" x14ac:dyDescent="0.3">
      <c r="A333" s="75" t="s">
        <v>629</v>
      </c>
      <c r="B333" s="114" t="s">
        <v>98</v>
      </c>
      <c r="C333" s="77" t="s">
        <v>77</v>
      </c>
      <c r="D333" s="77">
        <v>90</v>
      </c>
      <c r="E333" s="99"/>
      <c r="F333" s="99"/>
      <c r="G333" s="97">
        <v>15.6</v>
      </c>
      <c r="H333" s="97"/>
      <c r="I333" s="98"/>
      <c r="J333" s="98">
        <f t="shared" si="29"/>
        <v>1404</v>
      </c>
      <c r="K333" s="80"/>
      <c r="L333" s="80"/>
      <c r="M333" s="3"/>
    </row>
    <row r="334" spans="1:13" hidden="1" outlineLevel="2" x14ac:dyDescent="0.3">
      <c r="A334" s="75" t="s">
        <v>1030</v>
      </c>
      <c r="B334" s="114" t="s">
        <v>978</v>
      </c>
      <c r="C334" s="77" t="s">
        <v>77</v>
      </c>
      <c r="D334" s="77">
        <v>60</v>
      </c>
      <c r="E334" s="99"/>
      <c r="F334" s="99"/>
      <c r="G334" s="97">
        <v>30.38</v>
      </c>
      <c r="H334" s="97"/>
      <c r="I334" s="98"/>
      <c r="J334" s="98">
        <f t="shared" si="29"/>
        <v>1822.8</v>
      </c>
      <c r="K334" s="80"/>
      <c r="L334" s="80"/>
      <c r="M334" s="3"/>
    </row>
    <row r="335" spans="1:13" hidden="1" outlineLevel="2" x14ac:dyDescent="0.3">
      <c r="A335" s="75" t="s">
        <v>1031</v>
      </c>
      <c r="B335" s="114" t="s">
        <v>780</v>
      </c>
      <c r="C335" s="77" t="s">
        <v>6</v>
      </c>
      <c r="D335" s="77">
        <v>7</v>
      </c>
      <c r="E335" s="99"/>
      <c r="F335" s="99"/>
      <c r="G335" s="97">
        <v>11.62</v>
      </c>
      <c r="H335" s="97"/>
      <c r="I335" s="98"/>
      <c r="J335" s="98">
        <f t="shared" si="29"/>
        <v>81.339999999999989</v>
      </c>
      <c r="K335" s="80"/>
      <c r="L335" s="80"/>
      <c r="M335" s="3"/>
    </row>
    <row r="336" spans="1:13" hidden="1" outlineLevel="2" x14ac:dyDescent="0.3">
      <c r="A336" s="75" t="s">
        <v>1032</v>
      </c>
      <c r="B336" s="114" t="s">
        <v>781</v>
      </c>
      <c r="C336" s="77" t="s">
        <v>6</v>
      </c>
      <c r="D336" s="77">
        <v>1</v>
      </c>
      <c r="E336" s="99"/>
      <c r="F336" s="99"/>
      <c r="G336" s="97">
        <v>401.12</v>
      </c>
      <c r="H336" s="97"/>
      <c r="I336" s="98"/>
      <c r="J336" s="98">
        <f t="shared" si="29"/>
        <v>401.12</v>
      </c>
      <c r="K336" s="80"/>
      <c r="L336" s="80"/>
      <c r="M336" s="3"/>
    </row>
    <row r="337" spans="1:13" s="22" customFormat="1" hidden="1" outlineLevel="1" x14ac:dyDescent="0.3">
      <c r="A337" s="100" t="s">
        <v>136</v>
      </c>
      <c r="B337" s="101" t="s">
        <v>222</v>
      </c>
      <c r="C337" s="110"/>
      <c r="D337" s="110"/>
      <c r="E337" s="111"/>
      <c r="F337" s="111"/>
      <c r="G337" s="111"/>
      <c r="H337" s="111"/>
      <c r="I337" s="110"/>
      <c r="J337" s="104">
        <f>SUM(J338:J343)</f>
        <v>40852.410000000003</v>
      </c>
      <c r="K337" s="112"/>
      <c r="L337" s="112"/>
    </row>
    <row r="338" spans="1:13" s="15" customFormat="1" hidden="1" outlineLevel="2" x14ac:dyDescent="0.3">
      <c r="A338" s="120" t="s">
        <v>630</v>
      </c>
      <c r="B338" s="169" t="s">
        <v>84</v>
      </c>
      <c r="C338" s="169"/>
      <c r="D338" s="169"/>
      <c r="E338" s="170"/>
      <c r="F338" s="171"/>
      <c r="G338" s="171"/>
      <c r="H338" s="171"/>
      <c r="I338" s="171"/>
      <c r="J338" s="171"/>
      <c r="K338" s="171"/>
      <c r="L338" s="172"/>
    </row>
    <row r="339" spans="1:13" hidden="1" outlineLevel="2" x14ac:dyDescent="0.3">
      <c r="A339" s="75" t="s">
        <v>1033</v>
      </c>
      <c r="B339" s="76" t="s">
        <v>88</v>
      </c>
      <c r="C339" s="77" t="s">
        <v>10</v>
      </c>
      <c r="D339" s="77">
        <f>12*4+480</f>
        <v>528</v>
      </c>
      <c r="E339" s="99"/>
      <c r="F339" s="99"/>
      <c r="G339" s="97">
        <v>39.42</v>
      </c>
      <c r="H339" s="97"/>
      <c r="I339" s="98"/>
      <c r="J339" s="98">
        <f>G339*D339</f>
        <v>20813.760000000002</v>
      </c>
      <c r="K339" s="80"/>
      <c r="L339" s="80"/>
      <c r="M339" s="3"/>
    </row>
    <row r="340" spans="1:13" hidden="1" outlineLevel="2" x14ac:dyDescent="0.3">
      <c r="A340" s="75" t="s">
        <v>1034</v>
      </c>
      <c r="B340" s="76" t="s">
        <v>982</v>
      </c>
      <c r="C340" s="77" t="s">
        <v>77</v>
      </c>
      <c r="D340" s="77">
        <f>4+40</f>
        <v>44</v>
      </c>
      <c r="E340" s="99"/>
      <c r="F340" s="99"/>
      <c r="G340" s="97">
        <v>28.45</v>
      </c>
      <c r="H340" s="97"/>
      <c r="I340" s="98"/>
      <c r="J340" s="98">
        <f>G340*D340</f>
        <v>1251.8</v>
      </c>
      <c r="K340" s="80"/>
      <c r="L340" s="80"/>
      <c r="M340" s="3"/>
    </row>
    <row r="341" spans="1:13" hidden="1" outlineLevel="2" x14ac:dyDescent="0.3">
      <c r="A341" s="75" t="s">
        <v>1035</v>
      </c>
      <c r="B341" s="76" t="s">
        <v>782</v>
      </c>
      <c r="C341" s="77" t="s">
        <v>77</v>
      </c>
      <c r="D341" s="77">
        <f>8+80</f>
        <v>88</v>
      </c>
      <c r="E341" s="99"/>
      <c r="F341" s="99"/>
      <c r="G341" s="97">
        <v>32.26</v>
      </c>
      <c r="H341" s="97"/>
      <c r="I341" s="98"/>
      <c r="J341" s="98">
        <f>G341*D341</f>
        <v>2838.8799999999997</v>
      </c>
      <c r="K341" s="80"/>
      <c r="L341" s="80"/>
      <c r="M341" s="3"/>
    </row>
    <row r="342" spans="1:13" hidden="1" outlineLevel="2" x14ac:dyDescent="0.3">
      <c r="A342" s="75" t="s">
        <v>1036</v>
      </c>
      <c r="B342" s="76" t="s">
        <v>99</v>
      </c>
      <c r="C342" s="77" t="s">
        <v>77</v>
      </c>
      <c r="D342" s="77">
        <f>4+40</f>
        <v>44</v>
      </c>
      <c r="E342" s="99"/>
      <c r="F342" s="99"/>
      <c r="G342" s="97">
        <v>43.93</v>
      </c>
      <c r="H342" s="97"/>
      <c r="I342" s="98"/>
      <c r="J342" s="98">
        <f>G342*D342</f>
        <v>1932.92</v>
      </c>
      <c r="K342" s="80"/>
      <c r="L342" s="80"/>
      <c r="M342" s="3"/>
    </row>
    <row r="343" spans="1:13" hidden="1" outlineLevel="2" x14ac:dyDescent="0.3">
      <c r="A343" s="75" t="s">
        <v>1037</v>
      </c>
      <c r="B343" s="76" t="s">
        <v>783</v>
      </c>
      <c r="C343" s="77" t="s">
        <v>77</v>
      </c>
      <c r="D343" s="77">
        <v>35</v>
      </c>
      <c r="E343" s="99"/>
      <c r="F343" s="99"/>
      <c r="G343" s="97">
        <v>400.43</v>
      </c>
      <c r="H343" s="97"/>
      <c r="I343" s="98"/>
      <c r="J343" s="98">
        <f>G343*D343</f>
        <v>14015.050000000001</v>
      </c>
      <c r="K343" s="80"/>
      <c r="L343" s="80"/>
      <c r="M343" s="3"/>
    </row>
    <row r="344" spans="1:13" s="22" customFormat="1" hidden="1" outlineLevel="1" x14ac:dyDescent="0.3">
      <c r="A344" s="100" t="s">
        <v>278</v>
      </c>
      <c r="B344" s="101" t="s">
        <v>221</v>
      </c>
      <c r="C344" s="110"/>
      <c r="D344" s="110"/>
      <c r="E344" s="111"/>
      <c r="F344" s="111"/>
      <c r="G344" s="111"/>
      <c r="H344" s="111"/>
      <c r="I344" s="110"/>
      <c r="J344" s="104">
        <f>SUM(J345:J356)</f>
        <v>372462.98551999999</v>
      </c>
      <c r="K344" s="112"/>
      <c r="L344" s="112"/>
    </row>
    <row r="345" spans="1:13" s="13" customFormat="1" hidden="1" outlineLevel="2" x14ac:dyDescent="0.3">
      <c r="A345" s="75" t="s">
        <v>330</v>
      </c>
      <c r="B345" s="76" t="s">
        <v>470</v>
      </c>
      <c r="C345" s="77" t="s">
        <v>6</v>
      </c>
      <c r="D345" s="113">
        <v>162</v>
      </c>
      <c r="E345" s="97"/>
      <c r="F345" s="97"/>
      <c r="G345" s="97">
        <v>550.66</v>
      </c>
      <c r="H345" s="97"/>
      <c r="I345" s="98"/>
      <c r="J345" s="98">
        <f>G345*D345</f>
        <v>89206.92</v>
      </c>
      <c r="K345" s="80" t="s">
        <v>592</v>
      </c>
      <c r="L345" s="80" t="s">
        <v>705</v>
      </c>
    </row>
    <row r="346" spans="1:13" s="13" customFormat="1" hidden="1" outlineLevel="2" x14ac:dyDescent="0.3">
      <c r="A346" s="75" t="s">
        <v>331</v>
      </c>
      <c r="B346" s="76" t="s">
        <v>471</v>
      </c>
      <c r="C346" s="77" t="s">
        <v>6</v>
      </c>
      <c r="D346" s="113">
        <f>22+39+6+9+12</f>
        <v>88</v>
      </c>
      <c r="E346" s="97"/>
      <c r="F346" s="97"/>
      <c r="G346" s="97">
        <v>632.30999999999995</v>
      </c>
      <c r="H346" s="97"/>
      <c r="I346" s="98"/>
      <c r="J346" s="98">
        <f>G346*D346</f>
        <v>55643.28</v>
      </c>
      <c r="K346" s="80" t="s">
        <v>262</v>
      </c>
      <c r="L346" s="80" t="s">
        <v>262</v>
      </c>
      <c r="M346" s="7"/>
    </row>
    <row r="347" spans="1:13" s="13" customFormat="1" ht="29" hidden="1" outlineLevel="2" x14ac:dyDescent="0.3">
      <c r="A347" s="75" t="s">
        <v>332</v>
      </c>
      <c r="B347" s="76" t="s">
        <v>716</v>
      </c>
      <c r="C347" s="77" t="s">
        <v>6</v>
      </c>
      <c r="D347" s="113">
        <v>69</v>
      </c>
      <c r="E347" s="97"/>
      <c r="F347" s="97"/>
      <c r="G347" s="97">
        <v>290.08999999999997</v>
      </c>
      <c r="H347" s="97"/>
      <c r="I347" s="98"/>
      <c r="J347" s="98">
        <f>G347*D347</f>
        <v>20016.21</v>
      </c>
      <c r="K347" s="80" t="s">
        <v>726</v>
      </c>
      <c r="L347" s="80" t="s">
        <v>707</v>
      </c>
      <c r="M347" s="7"/>
    </row>
    <row r="348" spans="1:13" s="13" customFormat="1" ht="29" hidden="1" outlineLevel="2" x14ac:dyDescent="0.3">
      <c r="A348" s="75" t="s">
        <v>333</v>
      </c>
      <c r="B348" s="76" t="s">
        <v>717</v>
      </c>
      <c r="C348" s="77" t="s">
        <v>6</v>
      </c>
      <c r="D348" s="113">
        <v>5</v>
      </c>
      <c r="E348" s="97"/>
      <c r="F348" s="97"/>
      <c r="G348" s="97">
        <v>681.7</v>
      </c>
      <c r="H348" s="97"/>
      <c r="I348" s="98"/>
      <c r="J348" s="98">
        <f>G348*D348</f>
        <v>3408.5</v>
      </c>
      <c r="K348" s="80" t="s">
        <v>727</v>
      </c>
      <c r="L348" s="80" t="s">
        <v>707</v>
      </c>
      <c r="M348" s="7"/>
    </row>
    <row r="349" spans="1:13" s="13" customFormat="1" hidden="1" outlineLevel="2" x14ac:dyDescent="0.3">
      <c r="A349" s="75" t="s">
        <v>805</v>
      </c>
      <c r="B349" s="76" t="s">
        <v>718</v>
      </c>
      <c r="C349" s="77" t="s">
        <v>6</v>
      </c>
      <c r="D349" s="113">
        <v>162</v>
      </c>
      <c r="E349" s="97"/>
      <c r="F349" s="97"/>
      <c r="G349" s="97">
        <v>48.82</v>
      </c>
      <c r="H349" s="97"/>
      <c r="I349" s="98"/>
      <c r="J349" s="98">
        <f t="shared" ref="J349:J356" si="30">G349*D349</f>
        <v>7908.84</v>
      </c>
      <c r="K349" s="80" t="s">
        <v>593</v>
      </c>
      <c r="L349" s="80" t="s">
        <v>705</v>
      </c>
      <c r="M349" s="7"/>
    </row>
    <row r="350" spans="1:13" s="13" customFormat="1" ht="29" hidden="1" outlineLevel="2" x14ac:dyDescent="0.3">
      <c r="A350" s="75" t="s">
        <v>334</v>
      </c>
      <c r="B350" s="76" t="s">
        <v>719</v>
      </c>
      <c r="C350" s="77" t="s">
        <v>6</v>
      </c>
      <c r="D350" s="113">
        <f>14+30+4+5+8+60+1+6+9</f>
        <v>137</v>
      </c>
      <c r="E350" s="97"/>
      <c r="F350" s="97"/>
      <c r="G350" s="97">
        <v>856.36</v>
      </c>
      <c r="H350" s="97"/>
      <c r="I350" s="98"/>
      <c r="J350" s="98">
        <f t="shared" si="30"/>
        <v>117321.32</v>
      </c>
      <c r="K350" s="80" t="s">
        <v>594</v>
      </c>
      <c r="L350" s="80" t="s">
        <v>705</v>
      </c>
    </row>
    <row r="351" spans="1:13" s="13" customFormat="1" hidden="1" outlineLevel="2" x14ac:dyDescent="0.3">
      <c r="A351" s="75" t="s">
        <v>335</v>
      </c>
      <c r="B351" s="76" t="s">
        <v>720</v>
      </c>
      <c r="C351" s="77" t="s">
        <v>6</v>
      </c>
      <c r="D351" s="113">
        <f>16+6+2+3</f>
        <v>27</v>
      </c>
      <c r="E351" s="97"/>
      <c r="F351" s="97"/>
      <c r="G351" s="97">
        <v>733.6</v>
      </c>
      <c r="H351" s="97"/>
      <c r="I351" s="98"/>
      <c r="J351" s="98">
        <f t="shared" si="30"/>
        <v>19807.2</v>
      </c>
      <c r="K351" s="80" t="s">
        <v>595</v>
      </c>
      <c r="L351" s="80" t="s">
        <v>705</v>
      </c>
    </row>
    <row r="352" spans="1:13" s="13" customFormat="1" hidden="1" outlineLevel="2" x14ac:dyDescent="0.3">
      <c r="A352" s="75" t="s">
        <v>336</v>
      </c>
      <c r="B352" s="76" t="s">
        <v>721</v>
      </c>
      <c r="C352" s="77" t="s">
        <v>6</v>
      </c>
      <c r="D352" s="113">
        <f>D351</f>
        <v>27</v>
      </c>
      <c r="E352" s="97"/>
      <c r="F352" s="97"/>
      <c r="G352" s="97">
        <v>486.06</v>
      </c>
      <c r="H352" s="97"/>
      <c r="I352" s="98"/>
      <c r="J352" s="98">
        <f t="shared" si="30"/>
        <v>13123.62</v>
      </c>
      <c r="K352" s="80" t="s">
        <v>596</v>
      </c>
      <c r="L352" s="80" t="s">
        <v>705</v>
      </c>
    </row>
    <row r="353" spans="1:13" s="13" customFormat="1" hidden="1" outlineLevel="2" x14ac:dyDescent="0.3">
      <c r="A353" s="75" t="s">
        <v>337</v>
      </c>
      <c r="B353" s="76" t="s">
        <v>722</v>
      </c>
      <c r="C353" s="77" t="s">
        <v>6</v>
      </c>
      <c r="D353" s="113">
        <f>2+3+6+4+61+6</f>
        <v>82</v>
      </c>
      <c r="E353" s="97"/>
      <c r="F353" s="97"/>
      <c r="G353" s="97">
        <v>118.39</v>
      </c>
      <c r="H353" s="97"/>
      <c r="I353" s="98"/>
      <c r="J353" s="98">
        <f t="shared" si="30"/>
        <v>9707.98</v>
      </c>
      <c r="K353" s="80" t="s">
        <v>597</v>
      </c>
      <c r="L353" s="80" t="s">
        <v>705</v>
      </c>
    </row>
    <row r="354" spans="1:13" s="13" customFormat="1" hidden="1" outlineLevel="2" x14ac:dyDescent="0.3">
      <c r="A354" s="75" t="s">
        <v>338</v>
      </c>
      <c r="B354" s="76" t="s">
        <v>723</v>
      </c>
      <c r="C354" s="77" t="s">
        <v>5</v>
      </c>
      <c r="D354" s="113">
        <f>162*0.54*1.2</f>
        <v>104.976</v>
      </c>
      <c r="E354" s="97"/>
      <c r="F354" s="97"/>
      <c r="G354" s="97">
        <v>228.52</v>
      </c>
      <c r="H354" s="97"/>
      <c r="I354" s="98"/>
      <c r="J354" s="98">
        <f t="shared" si="30"/>
        <v>23989.115519999999</v>
      </c>
      <c r="K354" s="80" t="s">
        <v>598</v>
      </c>
      <c r="L354" s="80" t="s">
        <v>705</v>
      </c>
    </row>
    <row r="355" spans="1:13" s="13" customFormat="1" hidden="1" outlineLevel="2" x14ac:dyDescent="0.3">
      <c r="A355" s="75" t="s">
        <v>339</v>
      </c>
      <c r="B355" s="76" t="s">
        <v>724</v>
      </c>
      <c r="C355" s="77" t="s">
        <v>6</v>
      </c>
      <c r="D355" s="113">
        <f>12+21+3+5+4+1+6+6</f>
        <v>58</v>
      </c>
      <c r="E355" s="97"/>
      <c r="F355" s="97"/>
      <c r="G355" s="97">
        <v>72.680000000000007</v>
      </c>
      <c r="H355" s="97"/>
      <c r="I355" s="98"/>
      <c r="J355" s="98">
        <f t="shared" si="30"/>
        <v>4215.4400000000005</v>
      </c>
      <c r="K355" s="80" t="s">
        <v>599</v>
      </c>
      <c r="L355" s="80" t="s">
        <v>705</v>
      </c>
    </row>
    <row r="356" spans="1:13" s="13" customFormat="1" hidden="1" outlineLevel="2" x14ac:dyDescent="0.3">
      <c r="A356" s="75" t="s">
        <v>340</v>
      </c>
      <c r="B356" s="76" t="s">
        <v>725</v>
      </c>
      <c r="C356" s="77" t="s">
        <v>6</v>
      </c>
      <c r="D356" s="113">
        <f>4+6+2+5+4+1+3+6</f>
        <v>31</v>
      </c>
      <c r="E356" s="97"/>
      <c r="F356" s="97"/>
      <c r="G356" s="97">
        <v>261.76</v>
      </c>
      <c r="H356" s="97"/>
      <c r="I356" s="98"/>
      <c r="J356" s="98">
        <f t="shared" si="30"/>
        <v>8114.5599999999995</v>
      </c>
      <c r="K356" s="80" t="s">
        <v>600</v>
      </c>
      <c r="L356" s="80" t="s">
        <v>705</v>
      </c>
    </row>
    <row r="357" spans="1:13" s="13" customFormat="1" collapsed="1" x14ac:dyDescent="0.3">
      <c r="A357" s="92">
        <v>14</v>
      </c>
      <c r="B357" s="93" t="s">
        <v>75</v>
      </c>
      <c r="C357" s="94"/>
      <c r="D357" s="92"/>
      <c r="E357" s="95"/>
      <c r="F357" s="95"/>
      <c r="G357" s="95"/>
      <c r="H357" s="95"/>
      <c r="I357" s="95"/>
      <c r="J357" s="95">
        <f>SUM(J359:J366)</f>
        <v>62758.97</v>
      </c>
      <c r="K357" s="95"/>
      <c r="L357" s="95"/>
    </row>
    <row r="358" spans="1:13" s="13" customFormat="1" hidden="1" outlineLevel="2" x14ac:dyDescent="0.3">
      <c r="A358" s="75" t="s">
        <v>180</v>
      </c>
      <c r="B358" s="168" t="s">
        <v>100</v>
      </c>
      <c r="C358" s="168"/>
      <c r="D358" s="168"/>
      <c r="E358" s="220"/>
      <c r="F358" s="221"/>
      <c r="G358" s="221"/>
      <c r="H358" s="221"/>
      <c r="I358" s="221"/>
      <c r="J358" s="221"/>
      <c r="K358" s="221"/>
      <c r="L358" s="222"/>
    </row>
    <row r="359" spans="1:13" s="13" customFormat="1" hidden="1" outlineLevel="2" x14ac:dyDescent="0.3">
      <c r="A359" s="75" t="s">
        <v>806</v>
      </c>
      <c r="B359" s="76" t="s">
        <v>746</v>
      </c>
      <c r="C359" s="115" t="s">
        <v>10</v>
      </c>
      <c r="D359" s="115">
        <v>125</v>
      </c>
      <c r="E359" s="99"/>
      <c r="F359" s="99"/>
      <c r="G359" s="97">
        <v>240.99</v>
      </c>
      <c r="H359" s="97"/>
      <c r="I359" s="98"/>
      <c r="J359" s="98">
        <f t="shared" ref="J359:J366" si="31">G359*D359</f>
        <v>30123.75</v>
      </c>
      <c r="K359" s="80" t="s">
        <v>878</v>
      </c>
      <c r="L359" s="80" t="s">
        <v>707</v>
      </c>
      <c r="M359" s="3"/>
    </row>
    <row r="360" spans="1:13" s="13" customFormat="1" hidden="1" outlineLevel="2" x14ac:dyDescent="0.3">
      <c r="A360" s="75" t="s">
        <v>181</v>
      </c>
      <c r="B360" s="114" t="s">
        <v>747</v>
      </c>
      <c r="C360" s="115" t="s">
        <v>77</v>
      </c>
      <c r="D360" s="115">
        <v>8</v>
      </c>
      <c r="E360" s="99"/>
      <c r="F360" s="99"/>
      <c r="G360" s="97">
        <v>240.99</v>
      </c>
      <c r="H360" s="97"/>
      <c r="I360" s="98"/>
      <c r="J360" s="98">
        <f t="shared" si="31"/>
        <v>1927.92</v>
      </c>
      <c r="K360" s="80" t="s">
        <v>878</v>
      </c>
      <c r="L360" s="80" t="s">
        <v>707</v>
      </c>
      <c r="M360" s="3"/>
    </row>
    <row r="361" spans="1:13" s="13" customFormat="1" hidden="1" outlineLevel="2" x14ac:dyDescent="0.3">
      <c r="A361" s="75" t="s">
        <v>807</v>
      </c>
      <c r="B361" s="114" t="s">
        <v>748</v>
      </c>
      <c r="C361" s="115" t="s">
        <v>77</v>
      </c>
      <c r="D361" s="115">
        <v>4</v>
      </c>
      <c r="E361" s="99"/>
      <c r="F361" s="99"/>
      <c r="G361" s="97">
        <v>240.99</v>
      </c>
      <c r="H361" s="97"/>
      <c r="I361" s="98"/>
      <c r="J361" s="98">
        <f t="shared" si="31"/>
        <v>963.96</v>
      </c>
      <c r="K361" s="80" t="s">
        <v>878</v>
      </c>
      <c r="L361" s="80" t="s">
        <v>707</v>
      </c>
      <c r="M361" s="3"/>
    </row>
    <row r="362" spans="1:13" s="13" customFormat="1" hidden="1" outlineLevel="2" x14ac:dyDescent="0.3">
      <c r="A362" s="75" t="s">
        <v>808</v>
      </c>
      <c r="B362" s="114" t="s">
        <v>749</v>
      </c>
      <c r="C362" s="115" t="s">
        <v>77</v>
      </c>
      <c r="D362" s="115">
        <v>4</v>
      </c>
      <c r="E362" s="99"/>
      <c r="F362" s="99"/>
      <c r="G362" s="97">
        <v>287.51</v>
      </c>
      <c r="H362" s="97"/>
      <c r="I362" s="98"/>
      <c r="J362" s="98">
        <f>G362*D362</f>
        <v>1150.04</v>
      </c>
      <c r="K362" s="80" t="s">
        <v>879</v>
      </c>
      <c r="L362" s="80" t="s">
        <v>707</v>
      </c>
      <c r="M362" s="3"/>
    </row>
    <row r="363" spans="1:13" s="13" customFormat="1" hidden="1" outlineLevel="2" x14ac:dyDescent="0.3">
      <c r="A363" s="75" t="s">
        <v>631</v>
      </c>
      <c r="B363" s="114" t="s">
        <v>742</v>
      </c>
      <c r="C363" s="115" t="s">
        <v>10</v>
      </c>
      <c r="D363" s="115">
        <v>55</v>
      </c>
      <c r="E363" s="99"/>
      <c r="F363" s="99"/>
      <c r="G363" s="97">
        <v>392.13</v>
      </c>
      <c r="H363" s="97"/>
      <c r="I363" s="98"/>
      <c r="J363" s="98">
        <f t="shared" si="31"/>
        <v>21567.15</v>
      </c>
      <c r="K363" s="80" t="s">
        <v>812</v>
      </c>
      <c r="L363" s="80" t="s">
        <v>707</v>
      </c>
      <c r="M363" s="3"/>
    </row>
    <row r="364" spans="1:13" s="13" customFormat="1" hidden="1" outlineLevel="2" x14ac:dyDescent="0.3">
      <c r="A364" s="75" t="s">
        <v>809</v>
      </c>
      <c r="B364" s="114" t="s">
        <v>743</v>
      </c>
      <c r="C364" s="115" t="s">
        <v>77</v>
      </c>
      <c r="D364" s="115">
        <v>6</v>
      </c>
      <c r="E364" s="99"/>
      <c r="F364" s="99"/>
      <c r="G364" s="97">
        <v>392.13</v>
      </c>
      <c r="H364" s="97"/>
      <c r="I364" s="98"/>
      <c r="J364" s="98">
        <f t="shared" si="31"/>
        <v>2352.7799999999997</v>
      </c>
      <c r="K364" s="80" t="s">
        <v>812</v>
      </c>
      <c r="L364" s="80" t="s">
        <v>707</v>
      </c>
      <c r="M364" s="3"/>
    </row>
    <row r="365" spans="1:13" s="13" customFormat="1" hidden="1" outlineLevel="2" x14ac:dyDescent="0.3">
      <c r="A365" s="75" t="s">
        <v>810</v>
      </c>
      <c r="B365" s="114" t="s">
        <v>745</v>
      </c>
      <c r="C365" s="115" t="s">
        <v>77</v>
      </c>
      <c r="D365" s="115">
        <v>5</v>
      </c>
      <c r="E365" s="99"/>
      <c r="F365" s="99"/>
      <c r="G365" s="97">
        <v>392.13</v>
      </c>
      <c r="H365" s="97"/>
      <c r="I365" s="98"/>
      <c r="J365" s="98">
        <f t="shared" si="31"/>
        <v>1960.65</v>
      </c>
      <c r="K365" s="80" t="s">
        <v>812</v>
      </c>
      <c r="L365" s="80" t="s">
        <v>707</v>
      </c>
      <c r="M365" s="3"/>
    </row>
    <row r="366" spans="1:13" s="13" customFormat="1" hidden="1" outlineLevel="2" x14ac:dyDescent="0.3">
      <c r="A366" s="75" t="s">
        <v>811</v>
      </c>
      <c r="B366" s="114" t="s">
        <v>744</v>
      </c>
      <c r="C366" s="115" t="s">
        <v>77</v>
      </c>
      <c r="D366" s="115">
        <v>6</v>
      </c>
      <c r="E366" s="99"/>
      <c r="F366" s="99"/>
      <c r="G366" s="97">
        <v>452.12</v>
      </c>
      <c r="H366" s="97"/>
      <c r="I366" s="98"/>
      <c r="J366" s="98">
        <f t="shared" si="31"/>
        <v>2712.7200000000003</v>
      </c>
      <c r="K366" s="80" t="s">
        <v>880</v>
      </c>
      <c r="L366" s="80" t="s">
        <v>707</v>
      </c>
      <c r="M366" s="3"/>
    </row>
    <row r="367" spans="1:13" s="13" customFormat="1" collapsed="1" x14ac:dyDescent="0.3">
      <c r="A367" s="92">
        <v>15</v>
      </c>
      <c r="B367" s="93" t="s">
        <v>29</v>
      </c>
      <c r="C367" s="94"/>
      <c r="D367" s="142"/>
      <c r="E367" s="95"/>
      <c r="F367" s="95"/>
      <c r="G367" s="95"/>
      <c r="H367" s="95"/>
      <c r="I367" s="95"/>
      <c r="J367" s="95">
        <f>J368+J384+J392</f>
        <v>176933.68</v>
      </c>
      <c r="K367" s="95"/>
      <c r="L367" s="95"/>
    </row>
    <row r="368" spans="1:13" s="19" customFormat="1" outlineLevel="1" collapsed="1" x14ac:dyDescent="0.3">
      <c r="A368" s="100" t="s">
        <v>165</v>
      </c>
      <c r="B368" s="101" t="s">
        <v>216</v>
      </c>
      <c r="C368" s="52"/>
      <c r="D368" s="143"/>
      <c r="E368" s="103"/>
      <c r="F368" s="103"/>
      <c r="G368" s="103"/>
      <c r="H368" s="103"/>
      <c r="I368" s="52"/>
      <c r="J368" s="104">
        <f>SUM(J370:J383)</f>
        <v>134718.82</v>
      </c>
      <c r="K368" s="104"/>
      <c r="L368" s="104"/>
    </row>
    <row r="369" spans="1:13" s="13" customFormat="1" outlineLevel="2" x14ac:dyDescent="0.3">
      <c r="A369" s="75" t="s">
        <v>1038</v>
      </c>
      <c r="B369" s="168" t="s">
        <v>208</v>
      </c>
      <c r="C369" s="168"/>
      <c r="D369" s="168"/>
      <c r="E369" s="173"/>
      <c r="F369" s="174"/>
      <c r="G369" s="174"/>
      <c r="H369" s="174"/>
      <c r="I369" s="174"/>
      <c r="J369" s="174"/>
      <c r="K369" s="174"/>
      <c r="L369" s="175"/>
    </row>
    <row r="370" spans="1:13" s="13" customFormat="1" outlineLevel="2" x14ac:dyDescent="0.3">
      <c r="A370" s="75" t="s">
        <v>1039</v>
      </c>
      <c r="B370" s="114" t="s">
        <v>101</v>
      </c>
      <c r="C370" s="115" t="s">
        <v>10</v>
      </c>
      <c r="D370" s="115">
        <f>25+110</f>
        <v>135</v>
      </c>
      <c r="E370" s="117"/>
      <c r="F370" s="117"/>
      <c r="G370" s="116">
        <v>392.13</v>
      </c>
      <c r="H370" s="117"/>
      <c r="I370" s="116"/>
      <c r="J370" s="141">
        <f t="shared" ref="J370:J371" si="32">G370*D370</f>
        <v>52937.55</v>
      </c>
      <c r="K370" s="109" t="s">
        <v>812</v>
      </c>
      <c r="L370" s="109" t="s">
        <v>707</v>
      </c>
      <c r="M370" s="3"/>
    </row>
    <row r="371" spans="1:13" s="13" customFormat="1" outlineLevel="2" x14ac:dyDescent="0.3">
      <c r="A371" s="75" t="s">
        <v>1040</v>
      </c>
      <c r="B371" s="114" t="s">
        <v>102</v>
      </c>
      <c r="C371" s="115" t="s">
        <v>77</v>
      </c>
      <c r="D371" s="115">
        <f>9+2</f>
        <v>11</v>
      </c>
      <c r="E371" s="117"/>
      <c r="F371" s="117"/>
      <c r="G371" s="116">
        <v>392.13</v>
      </c>
      <c r="H371" s="117"/>
      <c r="I371" s="116"/>
      <c r="J371" s="141">
        <f t="shared" si="32"/>
        <v>4313.43</v>
      </c>
      <c r="K371" s="109" t="s">
        <v>812</v>
      </c>
      <c r="L371" s="109" t="s">
        <v>707</v>
      </c>
      <c r="M371" s="3"/>
    </row>
    <row r="372" spans="1:13" s="13" customFormat="1" outlineLevel="2" x14ac:dyDescent="0.3">
      <c r="A372" s="75" t="s">
        <v>1041</v>
      </c>
      <c r="B372" s="114" t="s">
        <v>105</v>
      </c>
      <c r="C372" s="115" t="s">
        <v>77</v>
      </c>
      <c r="D372" s="115">
        <f>4+4+2</f>
        <v>10</v>
      </c>
      <c r="E372" s="117"/>
      <c r="F372" s="117"/>
      <c r="G372" s="116">
        <v>392.13</v>
      </c>
      <c r="H372" s="117"/>
      <c r="I372" s="116"/>
      <c r="J372" s="141">
        <f t="shared" ref="J372:J377" si="33">G372*D372</f>
        <v>3921.3</v>
      </c>
      <c r="K372" s="109" t="s">
        <v>812</v>
      </c>
      <c r="L372" s="109" t="s">
        <v>707</v>
      </c>
      <c r="M372" s="3"/>
    </row>
    <row r="373" spans="1:13" s="13" customFormat="1" outlineLevel="2" x14ac:dyDescent="0.3">
      <c r="A373" s="75" t="s">
        <v>1042</v>
      </c>
      <c r="B373" s="114" t="s">
        <v>103</v>
      </c>
      <c r="C373" s="115" t="s">
        <v>77</v>
      </c>
      <c r="D373" s="115">
        <v>9</v>
      </c>
      <c r="E373" s="117"/>
      <c r="F373" s="117"/>
      <c r="G373" s="116">
        <v>581.59</v>
      </c>
      <c r="H373" s="117"/>
      <c r="I373" s="116"/>
      <c r="J373" s="141">
        <f t="shared" si="33"/>
        <v>5234.3100000000004</v>
      </c>
      <c r="K373" s="109" t="s">
        <v>881</v>
      </c>
      <c r="L373" s="109" t="s">
        <v>707</v>
      </c>
      <c r="M373" s="3"/>
    </row>
    <row r="374" spans="1:13" s="13" customFormat="1" outlineLevel="2" x14ac:dyDescent="0.3">
      <c r="A374" s="75" t="s">
        <v>1043</v>
      </c>
      <c r="B374" s="114" t="s">
        <v>104</v>
      </c>
      <c r="C374" s="115" t="s">
        <v>77</v>
      </c>
      <c r="D374" s="115">
        <v>9</v>
      </c>
      <c r="E374" s="117"/>
      <c r="F374" s="117"/>
      <c r="G374" s="116">
        <v>481.46</v>
      </c>
      <c r="H374" s="117"/>
      <c r="I374" s="116"/>
      <c r="J374" s="141">
        <f t="shared" si="33"/>
        <v>4333.1399999999994</v>
      </c>
      <c r="K374" s="109" t="s">
        <v>882</v>
      </c>
      <c r="L374" s="80" t="s">
        <v>705</v>
      </c>
      <c r="M374" s="3"/>
    </row>
    <row r="375" spans="1:13" s="13" customFormat="1" outlineLevel="2" x14ac:dyDescent="0.3">
      <c r="A375" s="75" t="s">
        <v>1044</v>
      </c>
      <c r="B375" s="114" t="s">
        <v>105</v>
      </c>
      <c r="C375" s="115" t="s">
        <v>77</v>
      </c>
      <c r="D375" s="115">
        <v>9</v>
      </c>
      <c r="E375" s="117"/>
      <c r="F375" s="117"/>
      <c r="G375" s="116">
        <v>392.13</v>
      </c>
      <c r="H375" s="117"/>
      <c r="I375" s="116"/>
      <c r="J375" s="141">
        <f t="shared" si="33"/>
        <v>3529.17</v>
      </c>
      <c r="K375" s="109" t="s">
        <v>812</v>
      </c>
      <c r="L375" s="109" t="s">
        <v>707</v>
      </c>
      <c r="M375" s="3"/>
    </row>
    <row r="376" spans="1:13" s="13" customFormat="1" outlineLevel="2" x14ac:dyDescent="0.3">
      <c r="A376" s="75" t="s">
        <v>1045</v>
      </c>
      <c r="B376" s="114" t="s">
        <v>264</v>
      </c>
      <c r="C376" s="115" t="s">
        <v>77</v>
      </c>
      <c r="D376" s="115">
        <v>9</v>
      </c>
      <c r="E376" s="117"/>
      <c r="F376" s="117"/>
      <c r="G376" s="116">
        <v>392.13</v>
      </c>
      <c r="H376" s="117"/>
      <c r="I376" s="116"/>
      <c r="J376" s="141">
        <f t="shared" si="33"/>
        <v>3529.17</v>
      </c>
      <c r="K376" s="109" t="s">
        <v>812</v>
      </c>
      <c r="L376" s="109" t="s">
        <v>707</v>
      </c>
      <c r="M376" s="3"/>
    </row>
    <row r="377" spans="1:13" s="13" customFormat="1" outlineLevel="2" x14ac:dyDescent="0.3">
      <c r="A377" s="75" t="s">
        <v>1046</v>
      </c>
      <c r="B377" s="114" t="s">
        <v>33</v>
      </c>
      <c r="C377" s="115" t="s">
        <v>4</v>
      </c>
      <c r="D377" s="115">
        <v>9</v>
      </c>
      <c r="E377" s="117"/>
      <c r="F377" s="117"/>
      <c r="G377" s="116">
        <v>77.52</v>
      </c>
      <c r="H377" s="117"/>
      <c r="I377" s="116"/>
      <c r="J377" s="141">
        <f t="shared" si="33"/>
        <v>697.68</v>
      </c>
      <c r="K377" s="109" t="s">
        <v>883</v>
      </c>
      <c r="L377" s="80" t="s">
        <v>705</v>
      </c>
      <c r="M377" s="3"/>
    </row>
    <row r="378" spans="1:13" s="22" customFormat="1" outlineLevel="2" x14ac:dyDescent="0.3">
      <c r="A378" s="75" t="s">
        <v>1047</v>
      </c>
      <c r="B378" s="114" t="s">
        <v>209</v>
      </c>
      <c r="C378" s="115" t="s">
        <v>4</v>
      </c>
      <c r="D378" s="115">
        <v>1</v>
      </c>
      <c r="E378" s="117"/>
      <c r="F378" s="117"/>
      <c r="G378" s="116"/>
      <c r="H378" s="117"/>
      <c r="I378" s="116"/>
      <c r="J378" s="117"/>
      <c r="K378" s="80"/>
      <c r="L378" s="80"/>
    </row>
    <row r="379" spans="1:13" s="13" customFormat="1" outlineLevel="2" x14ac:dyDescent="0.3">
      <c r="A379" s="75" t="s">
        <v>1048</v>
      </c>
      <c r="B379" s="114" t="s">
        <v>210</v>
      </c>
      <c r="C379" s="115" t="s">
        <v>77</v>
      </c>
      <c r="D379" s="115">
        <v>9</v>
      </c>
      <c r="E379" s="117"/>
      <c r="F379" s="117"/>
      <c r="G379" s="116">
        <v>597.6</v>
      </c>
      <c r="H379" s="117"/>
      <c r="I379" s="116"/>
      <c r="J379" s="141">
        <f>G379*D378</f>
        <v>597.6</v>
      </c>
      <c r="K379" s="109" t="s">
        <v>884</v>
      </c>
      <c r="L379" s="80" t="s">
        <v>705</v>
      </c>
      <c r="M379" s="3"/>
    </row>
    <row r="380" spans="1:13" s="13" customFormat="1" ht="15.75" customHeight="1" outlineLevel="2" x14ac:dyDescent="0.3">
      <c r="A380" s="75" t="s">
        <v>1049</v>
      </c>
      <c r="B380" s="114" t="s">
        <v>266</v>
      </c>
      <c r="C380" s="115" t="s">
        <v>4</v>
      </c>
      <c r="D380" s="115">
        <v>1</v>
      </c>
      <c r="E380" s="117"/>
      <c r="F380" s="117"/>
      <c r="G380" s="116">
        <v>5990.55</v>
      </c>
      <c r="H380" s="117"/>
      <c r="I380" s="116"/>
      <c r="J380" s="141">
        <f>G380*D379</f>
        <v>53914.950000000004</v>
      </c>
      <c r="K380" s="80" t="s">
        <v>885</v>
      </c>
      <c r="L380" s="109" t="s">
        <v>707</v>
      </c>
      <c r="M380" s="7"/>
    </row>
    <row r="381" spans="1:13" s="13" customFormat="1" outlineLevel="2" x14ac:dyDescent="0.3">
      <c r="A381" s="75" t="s">
        <v>1050</v>
      </c>
      <c r="B381" s="114" t="s">
        <v>211</v>
      </c>
      <c r="C381" s="115" t="s">
        <v>77</v>
      </c>
      <c r="D381" s="115">
        <v>2</v>
      </c>
      <c r="E381" s="117"/>
      <c r="F381" s="117"/>
      <c r="G381" s="116">
        <v>481.46</v>
      </c>
      <c r="H381" s="117"/>
      <c r="I381" s="116"/>
      <c r="J381" s="141">
        <f>G381*D380</f>
        <v>481.46</v>
      </c>
      <c r="K381" s="80" t="s">
        <v>882</v>
      </c>
      <c r="L381" s="80" t="s">
        <v>705</v>
      </c>
    </row>
    <row r="382" spans="1:13" s="13" customFormat="1" outlineLevel="2" x14ac:dyDescent="0.3">
      <c r="A382" s="75" t="s">
        <v>1051</v>
      </c>
      <c r="B382" s="114" t="s">
        <v>265</v>
      </c>
      <c r="C382" s="115" t="s">
        <v>77</v>
      </c>
      <c r="D382" s="115">
        <v>2</v>
      </c>
      <c r="E382" s="117"/>
      <c r="F382" s="117"/>
      <c r="G382" s="116">
        <v>535.52</v>
      </c>
      <c r="H382" s="117"/>
      <c r="I382" s="116"/>
      <c r="J382" s="141">
        <f>G382*D381</f>
        <v>1071.04</v>
      </c>
      <c r="K382" s="80" t="s">
        <v>886</v>
      </c>
      <c r="L382" s="109" t="s">
        <v>707</v>
      </c>
      <c r="M382" s="7"/>
    </row>
    <row r="383" spans="1:13" s="13" customFormat="1" outlineLevel="2" x14ac:dyDescent="0.3">
      <c r="A383" s="75" t="s">
        <v>1052</v>
      </c>
      <c r="B383" s="114" t="s">
        <v>212</v>
      </c>
      <c r="C383" s="115" t="s">
        <v>4</v>
      </c>
      <c r="D383" s="115">
        <v>1</v>
      </c>
      <c r="E383" s="117"/>
      <c r="F383" s="117"/>
      <c r="G383" s="116">
        <v>79.010000000000005</v>
      </c>
      <c r="H383" s="117"/>
      <c r="I383" s="116"/>
      <c r="J383" s="141">
        <f>G383*D382</f>
        <v>158.02000000000001</v>
      </c>
      <c r="K383" s="80" t="s">
        <v>887</v>
      </c>
      <c r="L383" s="109" t="s">
        <v>707</v>
      </c>
      <c r="M383" s="7"/>
    </row>
    <row r="384" spans="1:13" s="19" customFormat="1" outlineLevel="1" x14ac:dyDescent="0.3">
      <c r="A384" s="100" t="s">
        <v>166</v>
      </c>
      <c r="B384" s="101" t="s">
        <v>106</v>
      </c>
      <c r="C384" s="52" t="s">
        <v>156</v>
      </c>
      <c r="D384" s="52" t="s">
        <v>156</v>
      </c>
      <c r="E384" s="103"/>
      <c r="F384" s="103"/>
      <c r="G384" s="103"/>
      <c r="H384" s="103"/>
      <c r="I384" s="52"/>
      <c r="J384" s="104">
        <f>SUM(J385:J391)</f>
        <v>35575.42</v>
      </c>
      <c r="K384" s="104"/>
      <c r="L384" s="104"/>
    </row>
    <row r="385" spans="1:12" s="13" customFormat="1" outlineLevel="2" x14ac:dyDescent="0.3">
      <c r="A385" s="75" t="s">
        <v>633</v>
      </c>
      <c r="B385" s="114" t="s">
        <v>119</v>
      </c>
      <c r="C385" s="115" t="s">
        <v>77</v>
      </c>
      <c r="D385" s="115">
        <v>10</v>
      </c>
      <c r="E385" s="116"/>
      <c r="F385" s="117"/>
      <c r="G385" s="116">
        <v>17.63</v>
      </c>
      <c r="H385" s="117"/>
      <c r="I385" s="116"/>
      <c r="J385" s="118">
        <f>D385*G385</f>
        <v>176.29999999999998</v>
      </c>
      <c r="K385" s="109" t="s">
        <v>817</v>
      </c>
      <c r="L385" s="80" t="s">
        <v>705</v>
      </c>
    </row>
    <row r="386" spans="1:12" s="13" customFormat="1" outlineLevel="2" x14ac:dyDescent="0.3">
      <c r="A386" s="75" t="s">
        <v>634</v>
      </c>
      <c r="B386" s="114" t="s">
        <v>120</v>
      </c>
      <c r="C386" s="115" t="s">
        <v>10</v>
      </c>
      <c r="D386" s="115">
        <f>23*2</f>
        <v>46</v>
      </c>
      <c r="E386" s="116"/>
      <c r="F386" s="117"/>
      <c r="G386" s="116">
        <v>39.39</v>
      </c>
      <c r="H386" s="117"/>
      <c r="I386" s="116"/>
      <c r="J386" s="118">
        <f t="shared" ref="J386:J391" si="34">D386*G386</f>
        <v>1811.94</v>
      </c>
      <c r="K386" s="109" t="s">
        <v>818</v>
      </c>
      <c r="L386" s="80" t="s">
        <v>705</v>
      </c>
    </row>
    <row r="387" spans="1:12" s="13" customFormat="1" outlineLevel="2" x14ac:dyDescent="0.3">
      <c r="A387" s="75" t="s">
        <v>635</v>
      </c>
      <c r="B387" s="114" t="s">
        <v>121</v>
      </c>
      <c r="C387" s="115" t="s">
        <v>77</v>
      </c>
      <c r="D387" s="115">
        <v>23</v>
      </c>
      <c r="E387" s="116"/>
      <c r="F387" s="117"/>
      <c r="G387" s="116">
        <v>1244.54</v>
      </c>
      <c r="H387" s="117"/>
      <c r="I387" s="116"/>
      <c r="J387" s="118">
        <f t="shared" si="34"/>
        <v>28624.42</v>
      </c>
      <c r="K387" s="109" t="s">
        <v>819</v>
      </c>
      <c r="L387" s="109" t="s">
        <v>707</v>
      </c>
    </row>
    <row r="388" spans="1:12" s="13" customFormat="1" outlineLevel="2" x14ac:dyDescent="0.3">
      <c r="A388" s="75" t="s">
        <v>636</v>
      </c>
      <c r="B388" s="114" t="s">
        <v>122</v>
      </c>
      <c r="C388" s="115" t="s">
        <v>77</v>
      </c>
      <c r="D388" s="115">
        <v>8</v>
      </c>
      <c r="E388" s="116"/>
      <c r="F388" s="117"/>
      <c r="G388" s="116">
        <v>175.96</v>
      </c>
      <c r="H388" s="117"/>
      <c r="I388" s="116"/>
      <c r="J388" s="118">
        <f t="shared" si="34"/>
        <v>1407.68</v>
      </c>
      <c r="K388" s="109" t="s">
        <v>820</v>
      </c>
      <c r="L388" s="80" t="s">
        <v>705</v>
      </c>
    </row>
    <row r="389" spans="1:12" s="13" customFormat="1" outlineLevel="2" x14ac:dyDescent="0.3">
      <c r="A389" s="75" t="s">
        <v>637</v>
      </c>
      <c r="B389" s="114" t="s">
        <v>123</v>
      </c>
      <c r="C389" s="115" t="s">
        <v>6</v>
      </c>
      <c r="D389" s="115">
        <v>8</v>
      </c>
      <c r="E389" s="116"/>
      <c r="F389" s="117"/>
      <c r="G389" s="116">
        <v>78.400000000000006</v>
      </c>
      <c r="H389" s="117"/>
      <c r="I389" s="116"/>
      <c r="J389" s="118">
        <f t="shared" si="34"/>
        <v>627.20000000000005</v>
      </c>
      <c r="K389" s="109" t="s">
        <v>821</v>
      </c>
      <c r="L389" s="109" t="s">
        <v>707</v>
      </c>
    </row>
    <row r="390" spans="1:12" s="13" customFormat="1" outlineLevel="2" x14ac:dyDescent="0.3">
      <c r="A390" s="75" t="s">
        <v>638</v>
      </c>
      <c r="B390" s="114" t="s">
        <v>213</v>
      </c>
      <c r="C390" s="115" t="s">
        <v>6</v>
      </c>
      <c r="D390" s="115">
        <v>8</v>
      </c>
      <c r="E390" s="116"/>
      <c r="F390" s="117"/>
      <c r="G390" s="116">
        <v>162.03</v>
      </c>
      <c r="H390" s="117"/>
      <c r="I390" s="116"/>
      <c r="J390" s="118">
        <f t="shared" si="34"/>
        <v>1296.24</v>
      </c>
      <c r="K390" s="109" t="s">
        <v>822</v>
      </c>
      <c r="L390" s="80" t="s">
        <v>705</v>
      </c>
    </row>
    <row r="391" spans="1:12" s="13" customFormat="1" outlineLevel="2" x14ac:dyDescent="0.3">
      <c r="A391" s="75" t="s">
        <v>639</v>
      </c>
      <c r="B391" s="114" t="s">
        <v>214</v>
      </c>
      <c r="C391" s="115" t="s">
        <v>215</v>
      </c>
      <c r="D391" s="115">
        <v>1</v>
      </c>
      <c r="E391" s="116"/>
      <c r="F391" s="117"/>
      <c r="G391" s="116">
        <v>1631.64</v>
      </c>
      <c r="H391" s="117"/>
      <c r="I391" s="116"/>
      <c r="J391" s="118">
        <f t="shared" si="34"/>
        <v>1631.64</v>
      </c>
      <c r="K391" s="109" t="s">
        <v>823</v>
      </c>
      <c r="L391" s="80" t="s">
        <v>705</v>
      </c>
    </row>
    <row r="392" spans="1:12" s="19" customFormat="1" outlineLevel="1" x14ac:dyDescent="0.3">
      <c r="A392" s="100" t="s">
        <v>167</v>
      </c>
      <c r="B392" s="101" t="s">
        <v>107</v>
      </c>
      <c r="C392" s="119"/>
      <c r="D392" s="52"/>
      <c r="E392" s="103"/>
      <c r="F392" s="103"/>
      <c r="G392" s="103"/>
      <c r="H392" s="103"/>
      <c r="I392" s="52"/>
      <c r="J392" s="104">
        <f>SUM(J393:J396)</f>
        <v>6639.44</v>
      </c>
      <c r="K392" s="104"/>
      <c r="L392" s="104"/>
    </row>
    <row r="393" spans="1:12" s="22" customFormat="1" outlineLevel="2" x14ac:dyDescent="0.3">
      <c r="A393" s="75" t="s">
        <v>640</v>
      </c>
      <c r="B393" s="114" t="s">
        <v>34</v>
      </c>
      <c r="C393" s="115" t="s">
        <v>6</v>
      </c>
      <c r="D393" s="115">
        <v>20</v>
      </c>
      <c r="E393" s="116"/>
      <c r="F393" s="117"/>
      <c r="G393" s="116">
        <v>17.899999999999999</v>
      </c>
      <c r="H393" s="117"/>
      <c r="I393" s="116"/>
      <c r="J393" s="118">
        <f>G393*D393</f>
        <v>358</v>
      </c>
      <c r="K393" s="109" t="s">
        <v>813</v>
      </c>
      <c r="L393" s="109" t="s">
        <v>707</v>
      </c>
    </row>
    <row r="394" spans="1:12" s="13" customFormat="1" outlineLevel="2" x14ac:dyDescent="0.3">
      <c r="A394" s="75" t="s">
        <v>641</v>
      </c>
      <c r="B394" s="114" t="s">
        <v>32</v>
      </c>
      <c r="C394" s="115" t="s">
        <v>6</v>
      </c>
      <c r="D394" s="115">
        <f>24+8+8</f>
        <v>40</v>
      </c>
      <c r="E394" s="116"/>
      <c r="F394" s="117"/>
      <c r="G394" s="116">
        <v>13.81</v>
      </c>
      <c r="H394" s="117"/>
      <c r="I394" s="116"/>
      <c r="J394" s="118">
        <f>G394*D394</f>
        <v>552.4</v>
      </c>
      <c r="K394" s="109" t="s">
        <v>814</v>
      </c>
      <c r="L394" s="109" t="s">
        <v>707</v>
      </c>
    </row>
    <row r="395" spans="1:12" s="13" customFormat="1" ht="30" customHeight="1" outlineLevel="2" x14ac:dyDescent="0.3">
      <c r="A395" s="75" t="s">
        <v>642</v>
      </c>
      <c r="B395" s="114" t="s">
        <v>30</v>
      </c>
      <c r="C395" s="115" t="s">
        <v>6</v>
      </c>
      <c r="D395" s="115">
        <f>12</f>
        <v>12</v>
      </c>
      <c r="E395" s="116"/>
      <c r="F395" s="117"/>
      <c r="G395" s="116">
        <v>274.73</v>
      </c>
      <c r="H395" s="117"/>
      <c r="I395" s="116"/>
      <c r="J395" s="118">
        <f>G395*D395</f>
        <v>3296.76</v>
      </c>
      <c r="K395" s="109" t="s">
        <v>815</v>
      </c>
      <c r="L395" s="80" t="s">
        <v>705</v>
      </c>
    </row>
    <row r="396" spans="1:12" s="13" customFormat="1" outlineLevel="2" x14ac:dyDescent="0.3">
      <c r="A396" s="75" t="s">
        <v>643</v>
      </c>
      <c r="B396" s="114" t="s">
        <v>31</v>
      </c>
      <c r="C396" s="115" t="s">
        <v>6</v>
      </c>
      <c r="D396" s="115">
        <v>12</v>
      </c>
      <c r="E396" s="116"/>
      <c r="F396" s="117"/>
      <c r="G396" s="116">
        <v>202.69</v>
      </c>
      <c r="H396" s="117"/>
      <c r="I396" s="116"/>
      <c r="J396" s="118">
        <f>G396*D396</f>
        <v>2432.2799999999997</v>
      </c>
      <c r="K396" s="109" t="s">
        <v>816</v>
      </c>
      <c r="L396" s="80" t="s">
        <v>705</v>
      </c>
    </row>
    <row r="397" spans="1:12" x14ac:dyDescent="0.3">
      <c r="A397" s="92">
        <v>16</v>
      </c>
      <c r="B397" s="93" t="s">
        <v>899</v>
      </c>
      <c r="C397" s="94"/>
      <c r="D397" s="92"/>
      <c r="E397" s="95"/>
      <c r="F397" s="95"/>
      <c r="G397" s="95"/>
      <c r="H397" s="95"/>
      <c r="I397" s="95"/>
      <c r="J397" s="95">
        <f>J398+J401+J405+J407</f>
        <v>2812000</v>
      </c>
      <c r="K397" s="95"/>
      <c r="L397" s="95"/>
    </row>
    <row r="398" spans="1:12" s="21" customFormat="1" ht="21" hidden="1" customHeight="1" outlineLevel="1" x14ac:dyDescent="0.3">
      <c r="A398" s="100" t="s">
        <v>182</v>
      </c>
      <c r="B398" s="101" t="s">
        <v>902</v>
      </c>
      <c r="C398" s="129"/>
      <c r="D398" s="145"/>
      <c r="E398" s="111"/>
      <c r="F398" s="111"/>
      <c r="G398" s="111"/>
      <c r="H398" s="111"/>
      <c r="I398" s="110"/>
      <c r="J398" s="104">
        <f>J399+J400</f>
        <v>720000</v>
      </c>
      <c r="K398" s="112"/>
      <c r="L398" s="112"/>
    </row>
    <row r="399" spans="1:12" hidden="1" outlineLevel="2" x14ac:dyDescent="0.3">
      <c r="A399" s="147" t="s">
        <v>183</v>
      </c>
      <c r="B399" s="148" t="s">
        <v>903</v>
      </c>
      <c r="C399" s="149" t="s">
        <v>907</v>
      </c>
      <c r="D399" s="150">
        <v>1</v>
      </c>
      <c r="E399" s="97"/>
      <c r="F399" s="97"/>
      <c r="G399" s="97">
        <v>567000</v>
      </c>
      <c r="H399" s="97"/>
      <c r="I399" s="98"/>
      <c r="J399" s="121">
        <f>G399*D399</f>
        <v>567000</v>
      </c>
      <c r="K399" s="80"/>
      <c r="L399" s="80"/>
    </row>
    <row r="400" spans="1:12" hidden="1" outlineLevel="2" x14ac:dyDescent="0.3">
      <c r="A400" s="147" t="s">
        <v>632</v>
      </c>
      <c r="B400" s="148" t="s">
        <v>908</v>
      </c>
      <c r="C400" s="149" t="s">
        <v>523</v>
      </c>
      <c r="D400" s="150">
        <v>1</v>
      </c>
      <c r="E400" s="97"/>
      <c r="F400" s="97"/>
      <c r="G400" s="97">
        <v>153000</v>
      </c>
      <c r="H400" s="97"/>
      <c r="I400" s="98"/>
      <c r="J400" s="121">
        <f>G400*D400</f>
        <v>153000</v>
      </c>
      <c r="K400" s="80"/>
      <c r="L400" s="80"/>
    </row>
    <row r="401" spans="1:12" s="21" customFormat="1" hidden="1" outlineLevel="1" x14ac:dyDescent="0.3">
      <c r="A401" s="100" t="s">
        <v>184</v>
      </c>
      <c r="B401" s="101" t="s">
        <v>900</v>
      </c>
      <c r="C401" s="151"/>
      <c r="D401" s="145"/>
      <c r="E401" s="152"/>
      <c r="F401" s="152"/>
      <c r="G401" s="152"/>
      <c r="H401" s="152"/>
      <c r="I401" s="102"/>
      <c r="J401" s="104">
        <f>SUM(J402:J404)</f>
        <v>1650000</v>
      </c>
      <c r="K401" s="153"/>
      <c r="L401" s="153"/>
    </row>
    <row r="402" spans="1:12" hidden="1" outlineLevel="2" x14ac:dyDescent="0.3">
      <c r="A402" s="147" t="s">
        <v>185</v>
      </c>
      <c r="B402" s="154" t="s">
        <v>906</v>
      </c>
      <c r="C402" s="149" t="s">
        <v>523</v>
      </c>
      <c r="D402" s="150">
        <v>1</v>
      </c>
      <c r="E402" s="97"/>
      <c r="F402" s="97"/>
      <c r="G402" s="97">
        <v>1360000</v>
      </c>
      <c r="H402" s="97"/>
      <c r="I402" s="98"/>
      <c r="J402" s="98">
        <f>G402*D402</f>
        <v>1360000</v>
      </c>
      <c r="K402" s="80"/>
      <c r="L402" s="80"/>
    </row>
    <row r="403" spans="1:12" hidden="1" outlineLevel="2" x14ac:dyDescent="0.3">
      <c r="A403" s="147" t="s">
        <v>186</v>
      </c>
      <c r="B403" s="154" t="s">
        <v>909</v>
      </c>
      <c r="C403" s="149" t="s">
        <v>523</v>
      </c>
      <c r="D403" s="150">
        <v>1</v>
      </c>
      <c r="E403" s="97"/>
      <c r="F403" s="97"/>
      <c r="G403" s="97">
        <v>290000</v>
      </c>
      <c r="H403" s="97"/>
      <c r="I403" s="98"/>
      <c r="J403" s="121">
        <f>G403*D403</f>
        <v>290000</v>
      </c>
      <c r="K403" s="80"/>
      <c r="L403" s="80"/>
    </row>
    <row r="404" spans="1:12" s="3" customFormat="1" hidden="1" outlineLevel="2" x14ac:dyDescent="0.3">
      <c r="A404" s="147" t="s">
        <v>187</v>
      </c>
      <c r="B404" s="155" t="s">
        <v>912</v>
      </c>
      <c r="C404" s="149"/>
      <c r="D404" s="150"/>
      <c r="E404" s="97"/>
      <c r="F404" s="97"/>
      <c r="G404" s="97"/>
      <c r="H404" s="97"/>
      <c r="I404" s="98"/>
      <c r="J404" s="121"/>
      <c r="K404" s="80"/>
      <c r="L404" s="80"/>
    </row>
    <row r="405" spans="1:12" s="21" customFormat="1" hidden="1" outlineLevel="1" x14ac:dyDescent="0.3">
      <c r="A405" s="100" t="s">
        <v>188</v>
      </c>
      <c r="B405" s="101" t="s">
        <v>901</v>
      </c>
      <c r="C405" s="151"/>
      <c r="D405" s="156"/>
      <c r="E405" s="152"/>
      <c r="F405" s="152"/>
      <c r="G405" s="152"/>
      <c r="H405" s="152"/>
      <c r="I405" s="102"/>
      <c r="J405" s="104">
        <f>J406</f>
        <v>158000</v>
      </c>
      <c r="K405" s="153"/>
      <c r="L405" s="153"/>
    </row>
    <row r="406" spans="1:12" s="3" customFormat="1" hidden="1" outlineLevel="2" x14ac:dyDescent="0.3">
      <c r="A406" s="147" t="s">
        <v>1054</v>
      </c>
      <c r="B406" s="154" t="s">
        <v>904</v>
      </c>
      <c r="C406" s="149" t="s">
        <v>905</v>
      </c>
      <c r="D406" s="150">
        <v>1</v>
      </c>
      <c r="E406" s="97"/>
      <c r="F406" s="97"/>
      <c r="G406" s="97">
        <v>158000</v>
      </c>
      <c r="H406" s="97"/>
      <c r="I406" s="98"/>
      <c r="J406" s="121">
        <f>G406*D406</f>
        <v>158000</v>
      </c>
      <c r="K406" s="80"/>
      <c r="L406" s="80"/>
    </row>
    <row r="407" spans="1:12" s="21" customFormat="1" hidden="1" outlineLevel="1" x14ac:dyDescent="0.3">
      <c r="A407" s="100" t="s">
        <v>355</v>
      </c>
      <c r="B407" s="101" t="s">
        <v>910</v>
      </c>
      <c r="C407" s="151"/>
      <c r="D407" s="156"/>
      <c r="E407" s="152"/>
      <c r="F407" s="152"/>
      <c r="G407" s="152"/>
      <c r="H407" s="152"/>
      <c r="I407" s="102"/>
      <c r="J407" s="104">
        <f>J408</f>
        <v>284000</v>
      </c>
      <c r="K407" s="153"/>
      <c r="L407" s="153"/>
    </row>
    <row r="408" spans="1:12" s="3" customFormat="1" ht="29" hidden="1" outlineLevel="2" x14ac:dyDescent="0.3">
      <c r="A408" s="147" t="s">
        <v>1053</v>
      </c>
      <c r="B408" s="76" t="s">
        <v>911</v>
      </c>
      <c r="C408" s="123" t="s">
        <v>523</v>
      </c>
      <c r="D408" s="150">
        <v>1</v>
      </c>
      <c r="E408" s="97"/>
      <c r="F408" s="97"/>
      <c r="G408" s="97">
        <v>284000</v>
      </c>
      <c r="H408" s="97"/>
      <c r="I408" s="98"/>
      <c r="J408" s="121">
        <f>G408*D408</f>
        <v>284000</v>
      </c>
      <c r="K408" s="80"/>
      <c r="L408" s="80"/>
    </row>
    <row r="409" spans="1:12" s="16" customFormat="1" collapsed="1" x14ac:dyDescent="0.3">
      <c r="A409" s="92">
        <v>17</v>
      </c>
      <c r="B409" s="93" t="s">
        <v>145</v>
      </c>
      <c r="C409" s="94"/>
      <c r="D409" s="92"/>
      <c r="E409" s="95"/>
      <c r="F409" s="95"/>
      <c r="G409" s="95"/>
      <c r="H409" s="95"/>
      <c r="I409" s="95"/>
      <c r="J409" s="95">
        <f>SUM(J410:J415)</f>
        <v>1308664.3835999998</v>
      </c>
      <c r="K409" s="95"/>
      <c r="L409" s="95"/>
    </row>
    <row r="410" spans="1:12" s="3" customFormat="1" ht="29" hidden="1" outlineLevel="2" x14ac:dyDescent="0.3">
      <c r="A410" s="75" t="s">
        <v>189</v>
      </c>
      <c r="B410" s="76" t="s">
        <v>890</v>
      </c>
      <c r="C410" s="123" t="s">
        <v>5</v>
      </c>
      <c r="D410" s="77">
        <f>633.93+556.65</f>
        <v>1190.58</v>
      </c>
      <c r="E410" s="97"/>
      <c r="F410" s="97"/>
      <c r="G410" s="97">
        <v>78.42</v>
      </c>
      <c r="H410" s="97"/>
      <c r="I410" s="98"/>
      <c r="J410" s="98">
        <f>G410*D410</f>
        <v>93365.283599999995</v>
      </c>
      <c r="K410" s="80" t="s">
        <v>644</v>
      </c>
      <c r="L410" s="80" t="s">
        <v>705</v>
      </c>
    </row>
    <row r="411" spans="1:12" s="3" customFormat="1" ht="29" hidden="1" outlineLevel="2" x14ac:dyDescent="0.3">
      <c r="A411" s="75" t="s">
        <v>157</v>
      </c>
      <c r="B411" s="76" t="s">
        <v>891</v>
      </c>
      <c r="C411" s="123" t="s">
        <v>5</v>
      </c>
      <c r="D411" s="77">
        <f>231.03+39.85+62.18+54.73+56.65</f>
        <v>444.44</v>
      </c>
      <c r="E411" s="97"/>
      <c r="F411" s="97"/>
      <c r="G411" s="97">
        <v>69</v>
      </c>
      <c r="H411" s="97"/>
      <c r="I411" s="98"/>
      <c r="J411" s="98">
        <f>G411+D411</f>
        <v>513.44000000000005</v>
      </c>
      <c r="K411" s="80" t="s">
        <v>262</v>
      </c>
      <c r="L411" s="80" t="s">
        <v>262</v>
      </c>
    </row>
    <row r="412" spans="1:12" s="3" customFormat="1" ht="29" hidden="1" outlineLevel="2" x14ac:dyDescent="0.3">
      <c r="A412" s="75" t="s">
        <v>158</v>
      </c>
      <c r="B412" s="76" t="s">
        <v>892</v>
      </c>
      <c r="C412" s="123" t="s">
        <v>5</v>
      </c>
      <c r="D412" s="77">
        <f>2305.42+1278.88+1072+184.74+28.48</f>
        <v>4869.5199999999995</v>
      </c>
      <c r="E412" s="97"/>
      <c r="F412" s="97"/>
      <c r="G412" s="97">
        <v>245</v>
      </c>
      <c r="H412" s="97"/>
      <c r="I412" s="98"/>
      <c r="J412" s="98">
        <f>G412*D412</f>
        <v>1193032.3999999999</v>
      </c>
      <c r="K412" s="80" t="s">
        <v>262</v>
      </c>
      <c r="L412" s="80" t="s">
        <v>262</v>
      </c>
    </row>
    <row r="413" spans="1:12" s="3" customFormat="1" ht="29" hidden="1" outlineLevel="2" x14ac:dyDescent="0.3">
      <c r="A413" s="75" t="s">
        <v>190</v>
      </c>
      <c r="B413" s="76" t="s">
        <v>893</v>
      </c>
      <c r="C413" s="123" t="s">
        <v>10</v>
      </c>
      <c r="D413" s="77">
        <f>76.27+98.88</f>
        <v>175.14999999999998</v>
      </c>
      <c r="E413" s="97"/>
      <c r="F413" s="97"/>
      <c r="G413" s="97">
        <v>31.8</v>
      </c>
      <c r="H413" s="97"/>
      <c r="I413" s="98"/>
      <c r="J413" s="98">
        <f>G413*D413</f>
        <v>5569.7699999999995</v>
      </c>
      <c r="K413" s="80" t="s">
        <v>262</v>
      </c>
      <c r="L413" s="80" t="s">
        <v>262</v>
      </c>
    </row>
    <row r="414" spans="1:12" s="3" customFormat="1" ht="43.5" hidden="1" outlineLevel="2" x14ac:dyDescent="0.3">
      <c r="A414" s="75" t="s">
        <v>511</v>
      </c>
      <c r="B414" s="76" t="s">
        <v>894</v>
      </c>
      <c r="C414" s="123" t="s">
        <v>5</v>
      </c>
      <c r="D414" s="77">
        <v>122.3</v>
      </c>
      <c r="E414" s="97"/>
      <c r="F414" s="97"/>
      <c r="G414" s="97">
        <v>126.94</v>
      </c>
      <c r="H414" s="97"/>
      <c r="I414" s="98"/>
      <c r="J414" s="98">
        <f>G414*D414</f>
        <v>15524.761999999999</v>
      </c>
      <c r="K414" s="80" t="s">
        <v>645</v>
      </c>
      <c r="L414" s="80" t="s">
        <v>705</v>
      </c>
    </row>
    <row r="415" spans="1:12" s="3" customFormat="1" hidden="1" outlineLevel="2" x14ac:dyDescent="0.3">
      <c r="A415" s="75" t="s">
        <v>512</v>
      </c>
      <c r="B415" s="76" t="s">
        <v>895</v>
      </c>
      <c r="C415" s="123" t="s">
        <v>5</v>
      </c>
      <c r="D415" s="77">
        <v>8.4</v>
      </c>
      <c r="E415" s="97"/>
      <c r="F415" s="97"/>
      <c r="G415" s="97">
        <v>78.42</v>
      </c>
      <c r="H415" s="97"/>
      <c r="I415" s="98"/>
      <c r="J415" s="98">
        <f>G415*D415</f>
        <v>658.72800000000007</v>
      </c>
      <c r="K415" s="80" t="s">
        <v>644</v>
      </c>
      <c r="L415" s="80" t="s">
        <v>705</v>
      </c>
    </row>
    <row r="416" spans="1:12" s="16" customFormat="1" collapsed="1" x14ac:dyDescent="0.3">
      <c r="A416" s="92">
        <v>18</v>
      </c>
      <c r="B416" s="93" t="s">
        <v>524</v>
      </c>
      <c r="C416" s="94"/>
      <c r="D416" s="92"/>
      <c r="E416" s="95"/>
      <c r="F416" s="95"/>
      <c r="G416" s="95"/>
      <c r="H416" s="95"/>
      <c r="I416" s="95"/>
      <c r="J416" s="95">
        <f>SUM(J417:J420)</f>
        <v>456812.73359999998</v>
      </c>
      <c r="K416" s="95"/>
      <c r="L416" s="95"/>
    </row>
    <row r="417" spans="1:14" s="3" customFormat="1" ht="29" hidden="1" outlineLevel="2" x14ac:dyDescent="0.3">
      <c r="A417" s="75" t="s">
        <v>191</v>
      </c>
      <c r="B417" s="76" t="s">
        <v>695</v>
      </c>
      <c r="C417" s="123" t="s">
        <v>5</v>
      </c>
      <c r="D417" s="77">
        <f>1010.39-D418</f>
        <v>887.89</v>
      </c>
      <c r="E417" s="97"/>
      <c r="F417" s="97"/>
      <c r="G417" s="121">
        <v>364.44</v>
      </c>
      <c r="H417" s="97"/>
      <c r="I417" s="98"/>
      <c r="J417" s="121">
        <f>G417*D417</f>
        <v>323582.63159999996</v>
      </c>
      <c r="K417" s="80" t="s">
        <v>692</v>
      </c>
      <c r="L417" s="80" t="s">
        <v>705</v>
      </c>
    </row>
    <row r="418" spans="1:14" s="3" customFormat="1" ht="29" hidden="1" outlineLevel="2" x14ac:dyDescent="0.3">
      <c r="A418" s="75" t="s">
        <v>522</v>
      </c>
      <c r="B418" s="76" t="s">
        <v>697</v>
      </c>
      <c r="C418" s="123" t="s">
        <v>5</v>
      </c>
      <c r="D418" s="77">
        <v>122.5</v>
      </c>
      <c r="E418" s="97"/>
      <c r="F418" s="97"/>
      <c r="G418" s="121">
        <v>492.38</v>
      </c>
      <c r="H418" s="97"/>
      <c r="I418" s="98"/>
      <c r="J418" s="121">
        <f>G418*D418</f>
        <v>60316.55</v>
      </c>
      <c r="K418" s="80"/>
      <c r="L418" s="80"/>
    </row>
    <row r="419" spans="1:14" s="3" customFormat="1" ht="29" hidden="1" outlineLevel="2" x14ac:dyDescent="0.3">
      <c r="A419" s="75" t="s">
        <v>544</v>
      </c>
      <c r="B419" s="76" t="s">
        <v>545</v>
      </c>
      <c r="C419" s="123" t="s">
        <v>17</v>
      </c>
      <c r="D419" s="77">
        <f>155*15</f>
        <v>2325</v>
      </c>
      <c r="E419" s="97"/>
      <c r="F419" s="97"/>
      <c r="G419" s="97">
        <v>20.190000000000001</v>
      </c>
      <c r="H419" s="97"/>
      <c r="I419" s="98"/>
      <c r="J419" s="121">
        <f>G419*D419</f>
        <v>46941.75</v>
      </c>
      <c r="K419" s="109" t="s">
        <v>691</v>
      </c>
      <c r="L419" s="80" t="s">
        <v>705</v>
      </c>
      <c r="M419" s="49"/>
    </row>
    <row r="420" spans="1:14" s="3" customFormat="1" hidden="1" outlineLevel="2" x14ac:dyDescent="0.3">
      <c r="A420" s="75" t="s">
        <v>696</v>
      </c>
      <c r="B420" s="76" t="s">
        <v>546</v>
      </c>
      <c r="C420" s="123" t="s">
        <v>10</v>
      </c>
      <c r="D420" s="77">
        <f>31.63+180.32+23.9</f>
        <v>235.85</v>
      </c>
      <c r="E420" s="97"/>
      <c r="F420" s="97"/>
      <c r="G420" s="97">
        <v>110.12</v>
      </c>
      <c r="H420" s="97"/>
      <c r="I420" s="98"/>
      <c r="J420" s="121">
        <f>G420*D420</f>
        <v>25971.802</v>
      </c>
      <c r="K420" s="80" t="s">
        <v>693</v>
      </c>
      <c r="L420" s="80" t="s">
        <v>705</v>
      </c>
      <c r="N420" s="50"/>
    </row>
    <row r="421" spans="1:14" s="16" customFormat="1" collapsed="1" x14ac:dyDescent="0.3">
      <c r="A421" s="92">
        <v>19</v>
      </c>
      <c r="B421" s="93" t="s">
        <v>125</v>
      </c>
      <c r="C421" s="94"/>
      <c r="D421" s="92"/>
      <c r="E421" s="95"/>
      <c r="F421" s="95"/>
      <c r="G421" s="95"/>
      <c r="H421" s="95"/>
      <c r="I421" s="95"/>
      <c r="J421" s="95">
        <f>SUM(J422:J423)</f>
        <v>271861.61</v>
      </c>
      <c r="K421" s="95"/>
      <c r="L421" s="95"/>
    </row>
    <row r="422" spans="1:14" s="16" customFormat="1" ht="29" outlineLevel="2" x14ac:dyDescent="0.3">
      <c r="A422" s="75" t="s">
        <v>146</v>
      </c>
      <c r="B422" s="76" t="s">
        <v>898</v>
      </c>
      <c r="C422" s="77" t="s">
        <v>523</v>
      </c>
      <c r="D422" s="77">
        <v>1</v>
      </c>
      <c r="E422" s="97"/>
      <c r="F422" s="97"/>
      <c r="G422" s="97">
        <v>141903.72</v>
      </c>
      <c r="H422" s="97"/>
      <c r="I422" s="98"/>
      <c r="J422" s="98">
        <f>G422*D422</f>
        <v>141903.72</v>
      </c>
      <c r="K422" s="80" t="s">
        <v>854</v>
      </c>
      <c r="L422" s="80" t="s">
        <v>705</v>
      </c>
      <c r="M422" s="3"/>
    </row>
    <row r="423" spans="1:14" s="16" customFormat="1" ht="29" outlineLevel="2" x14ac:dyDescent="0.3">
      <c r="A423" s="75" t="s">
        <v>525</v>
      </c>
      <c r="B423" s="76" t="s">
        <v>897</v>
      </c>
      <c r="C423" s="77" t="s">
        <v>523</v>
      </c>
      <c r="D423" s="77">
        <v>1</v>
      </c>
      <c r="E423" s="97"/>
      <c r="F423" s="97"/>
      <c r="G423" s="97">
        <v>129957.89</v>
      </c>
      <c r="H423" s="97"/>
      <c r="I423" s="98"/>
      <c r="J423" s="98">
        <f>G423*D423</f>
        <v>129957.89</v>
      </c>
      <c r="K423" s="80" t="s">
        <v>855</v>
      </c>
      <c r="L423" s="80" t="s">
        <v>705</v>
      </c>
      <c r="M423" s="3"/>
    </row>
    <row r="424" spans="1:14" s="3" customFormat="1" x14ac:dyDescent="0.3">
      <c r="A424" s="92">
        <v>20</v>
      </c>
      <c r="B424" s="93" t="s">
        <v>35</v>
      </c>
      <c r="C424" s="94"/>
      <c r="D424" s="92"/>
      <c r="E424" s="95"/>
      <c r="F424" s="95"/>
      <c r="G424" s="95"/>
      <c r="H424" s="95"/>
      <c r="I424" s="95"/>
      <c r="J424" s="95">
        <f>J425</f>
        <v>123936.48000000001</v>
      </c>
      <c r="K424" s="95"/>
      <c r="L424" s="95"/>
    </row>
    <row r="425" spans="1:14" s="3" customFormat="1" hidden="1" outlineLevel="2" x14ac:dyDescent="0.3">
      <c r="A425" s="75" t="s">
        <v>279</v>
      </c>
      <c r="B425" s="76" t="s">
        <v>160</v>
      </c>
      <c r="C425" s="77" t="s">
        <v>5</v>
      </c>
      <c r="D425" s="77">
        <f>13447-4015</f>
        <v>9432</v>
      </c>
      <c r="E425" s="99"/>
      <c r="F425" s="99"/>
      <c r="G425" s="97">
        <v>13.14</v>
      </c>
      <c r="H425" s="97"/>
      <c r="I425" s="98"/>
      <c r="J425" s="98">
        <f>G425*D425</f>
        <v>123936.48000000001</v>
      </c>
      <c r="K425" s="80" t="s">
        <v>694</v>
      </c>
      <c r="L425" s="80" t="s">
        <v>705</v>
      </c>
    </row>
    <row r="426" spans="1:14" s="3" customFormat="1" collapsed="1" x14ac:dyDescent="0.3">
      <c r="A426" s="92">
        <v>21</v>
      </c>
      <c r="B426" s="93" t="s">
        <v>78</v>
      </c>
      <c r="C426" s="144"/>
      <c r="D426" s="94"/>
      <c r="E426" s="95"/>
      <c r="F426" s="95"/>
      <c r="G426" s="95"/>
      <c r="H426" s="95"/>
      <c r="I426" s="95"/>
      <c r="J426" s="95">
        <f>SUM(J427:J432)</f>
        <v>14991.794999999998</v>
      </c>
      <c r="K426" s="95"/>
      <c r="L426" s="95"/>
    </row>
    <row r="427" spans="1:14" s="16" customFormat="1" ht="29" hidden="1" outlineLevel="2" x14ac:dyDescent="0.3">
      <c r="A427" s="75" t="s">
        <v>169</v>
      </c>
      <c r="B427" s="76" t="s">
        <v>309</v>
      </c>
      <c r="C427" s="123" t="s">
        <v>5</v>
      </c>
      <c r="D427" s="77">
        <f>2*2.5</f>
        <v>5</v>
      </c>
      <c r="E427" s="88">
        <v>679.9</v>
      </c>
      <c r="F427" s="88"/>
      <c r="G427" s="88">
        <v>679.9</v>
      </c>
      <c r="H427" s="88"/>
      <c r="I427" s="87"/>
      <c r="J427" s="96">
        <f t="shared" ref="J427:J432" si="35">G427*D427</f>
        <v>3399.5</v>
      </c>
      <c r="K427" s="80" t="s">
        <v>729</v>
      </c>
      <c r="L427" s="80" t="s">
        <v>707</v>
      </c>
      <c r="M427" s="7"/>
    </row>
    <row r="428" spans="1:14" s="16" customFormat="1" ht="29" hidden="1" outlineLevel="2" x14ac:dyDescent="0.3">
      <c r="A428" s="75" t="s">
        <v>303</v>
      </c>
      <c r="B428" s="76" t="s">
        <v>308</v>
      </c>
      <c r="C428" s="123" t="s">
        <v>5</v>
      </c>
      <c r="D428" s="77">
        <f>3*3.3</f>
        <v>9.8999999999999986</v>
      </c>
      <c r="E428" s="88">
        <v>679.9</v>
      </c>
      <c r="F428" s="88"/>
      <c r="G428" s="88">
        <v>679.9</v>
      </c>
      <c r="H428" s="88"/>
      <c r="I428" s="87"/>
      <c r="J428" s="96">
        <f t="shared" si="35"/>
        <v>6731.0099999999984</v>
      </c>
      <c r="K428" s="80" t="s">
        <v>729</v>
      </c>
      <c r="L428" s="80" t="s">
        <v>707</v>
      </c>
      <c r="M428" s="7"/>
    </row>
    <row r="429" spans="1:14" s="16" customFormat="1" ht="29" hidden="1" outlineLevel="2" x14ac:dyDescent="0.3">
      <c r="A429" s="75" t="s">
        <v>526</v>
      </c>
      <c r="B429" s="76" t="s">
        <v>307</v>
      </c>
      <c r="C429" s="123" t="s">
        <v>5</v>
      </c>
      <c r="D429" s="77">
        <f>0*2.2</f>
        <v>0</v>
      </c>
      <c r="E429" s="88">
        <v>679.9</v>
      </c>
      <c r="F429" s="88"/>
      <c r="G429" s="88">
        <v>679.9</v>
      </c>
      <c r="H429" s="88"/>
      <c r="I429" s="87"/>
      <c r="J429" s="96">
        <f t="shared" si="35"/>
        <v>0</v>
      </c>
      <c r="K429" s="80" t="s">
        <v>729</v>
      </c>
      <c r="L429" s="80" t="s">
        <v>707</v>
      </c>
      <c r="M429" s="7"/>
    </row>
    <row r="430" spans="1:14" s="16" customFormat="1" ht="29" hidden="1" outlineLevel="2" x14ac:dyDescent="0.3">
      <c r="A430" s="75" t="s">
        <v>527</v>
      </c>
      <c r="B430" s="76" t="s">
        <v>306</v>
      </c>
      <c r="C430" s="123" t="s">
        <v>5</v>
      </c>
      <c r="D430" s="77">
        <f>1*1.6</f>
        <v>1.6</v>
      </c>
      <c r="E430" s="88">
        <v>679.9</v>
      </c>
      <c r="F430" s="88"/>
      <c r="G430" s="88">
        <v>679.9</v>
      </c>
      <c r="H430" s="88"/>
      <c r="I430" s="87"/>
      <c r="J430" s="96">
        <f t="shared" si="35"/>
        <v>1087.8399999999999</v>
      </c>
      <c r="K430" s="80" t="s">
        <v>729</v>
      </c>
      <c r="L430" s="80" t="s">
        <v>707</v>
      </c>
      <c r="M430" s="7"/>
    </row>
    <row r="431" spans="1:14" s="16" customFormat="1" ht="29" hidden="1" outlineLevel="2" x14ac:dyDescent="0.3">
      <c r="A431" s="75" t="s">
        <v>528</v>
      </c>
      <c r="B431" s="76" t="s">
        <v>513</v>
      </c>
      <c r="C431" s="123" t="s">
        <v>5</v>
      </c>
      <c r="D431" s="77">
        <f>0.63*3</f>
        <v>1.8900000000000001</v>
      </c>
      <c r="E431" s="88">
        <v>679.9</v>
      </c>
      <c r="F431" s="88"/>
      <c r="G431" s="88">
        <v>679.9</v>
      </c>
      <c r="H431" s="88"/>
      <c r="I431" s="87"/>
      <c r="J431" s="96">
        <f t="shared" si="35"/>
        <v>1285.011</v>
      </c>
      <c r="K431" s="80" t="s">
        <v>729</v>
      </c>
      <c r="L431" s="80" t="s">
        <v>707</v>
      </c>
      <c r="M431" s="7"/>
    </row>
    <row r="432" spans="1:14" s="16" customFormat="1" ht="29" hidden="1" outlineLevel="2" x14ac:dyDescent="0.3">
      <c r="A432" s="75" t="s">
        <v>529</v>
      </c>
      <c r="B432" s="76" t="s">
        <v>514</v>
      </c>
      <c r="C432" s="123" t="s">
        <v>5</v>
      </c>
      <c r="D432" s="77">
        <f>3*1.22</f>
        <v>3.66</v>
      </c>
      <c r="E432" s="88">
        <v>679.9</v>
      </c>
      <c r="F432" s="88"/>
      <c r="G432" s="88">
        <v>679.9</v>
      </c>
      <c r="H432" s="88"/>
      <c r="I432" s="87"/>
      <c r="J432" s="96">
        <f t="shared" si="35"/>
        <v>2488.4340000000002</v>
      </c>
      <c r="K432" s="80" t="s">
        <v>729</v>
      </c>
      <c r="L432" s="80" t="s">
        <v>707</v>
      </c>
      <c r="M432" s="7"/>
    </row>
    <row r="433" spans="1:13" s="3" customFormat="1" collapsed="1" x14ac:dyDescent="0.3">
      <c r="A433" s="92">
        <v>22</v>
      </c>
      <c r="B433" s="93" t="s">
        <v>124</v>
      </c>
      <c r="C433" s="94"/>
      <c r="D433" s="92"/>
      <c r="E433" s="95"/>
      <c r="F433" s="95"/>
      <c r="G433" s="95"/>
      <c r="H433" s="95"/>
      <c r="I433" s="95"/>
      <c r="J433" s="95">
        <f>J438+J434</f>
        <v>302402.48872999998</v>
      </c>
      <c r="K433" s="95"/>
      <c r="L433" s="95"/>
    </row>
    <row r="434" spans="1:13" s="21" customFormat="1" outlineLevel="1" x14ac:dyDescent="0.3">
      <c r="A434" s="100" t="s">
        <v>530</v>
      </c>
      <c r="B434" s="101" t="s">
        <v>200</v>
      </c>
      <c r="C434" s="129"/>
      <c r="D434" s="145"/>
      <c r="E434" s="111"/>
      <c r="F434" s="111"/>
      <c r="G434" s="111"/>
      <c r="H434" s="111"/>
      <c r="I434" s="110"/>
      <c r="J434" s="104">
        <f>SUM(J435:J437)</f>
        <v>38729.1</v>
      </c>
      <c r="K434" s="112"/>
      <c r="L434" s="112"/>
    </row>
    <row r="435" spans="1:13" s="16" customFormat="1" outlineLevel="2" x14ac:dyDescent="0.3">
      <c r="A435" s="75" t="s">
        <v>531</v>
      </c>
      <c r="B435" s="76" t="s">
        <v>348</v>
      </c>
      <c r="C435" s="77" t="s">
        <v>5</v>
      </c>
      <c r="D435" s="77">
        <v>358</v>
      </c>
      <c r="E435" s="97"/>
      <c r="F435" s="97"/>
      <c r="G435" s="97">
        <v>49.5</v>
      </c>
      <c r="H435" s="97"/>
      <c r="I435" s="98"/>
      <c r="J435" s="98">
        <f>D435*G435</f>
        <v>17721</v>
      </c>
      <c r="K435" s="80" t="s">
        <v>647</v>
      </c>
      <c r="L435" s="80" t="s">
        <v>705</v>
      </c>
    </row>
    <row r="436" spans="1:13" s="16" customFormat="1" outlineLevel="2" x14ac:dyDescent="0.3">
      <c r="A436" s="75" t="s">
        <v>532</v>
      </c>
      <c r="B436" s="76" t="s">
        <v>349</v>
      </c>
      <c r="C436" s="77" t="s">
        <v>5</v>
      </c>
      <c r="D436" s="77">
        <v>470</v>
      </c>
      <c r="E436" s="97"/>
      <c r="F436" s="97"/>
      <c r="G436" s="97">
        <v>20.43</v>
      </c>
      <c r="H436" s="97"/>
      <c r="I436" s="98"/>
      <c r="J436" s="98">
        <f>D436*G436</f>
        <v>9602.1</v>
      </c>
      <c r="K436" s="80" t="s">
        <v>648</v>
      </c>
      <c r="L436" s="80" t="s">
        <v>705</v>
      </c>
    </row>
    <row r="437" spans="1:13" s="16" customFormat="1" outlineLevel="2" x14ac:dyDescent="0.3">
      <c r="A437" s="75" t="s">
        <v>533</v>
      </c>
      <c r="B437" s="76" t="s">
        <v>646</v>
      </c>
      <c r="C437" s="77" t="s">
        <v>8</v>
      </c>
      <c r="D437" s="77">
        <f>200*0.2</f>
        <v>40</v>
      </c>
      <c r="E437" s="97"/>
      <c r="F437" s="97"/>
      <c r="G437" s="97">
        <v>285.14999999999998</v>
      </c>
      <c r="H437" s="97"/>
      <c r="I437" s="98"/>
      <c r="J437" s="98">
        <f>D437*G437</f>
        <v>11406</v>
      </c>
      <c r="K437" s="80" t="s">
        <v>649</v>
      </c>
      <c r="L437" s="80" t="s">
        <v>705</v>
      </c>
    </row>
    <row r="438" spans="1:13" s="21" customFormat="1" outlineLevel="1" x14ac:dyDescent="0.3">
      <c r="A438" s="100" t="s">
        <v>534</v>
      </c>
      <c r="B438" s="101" t="s">
        <v>201</v>
      </c>
      <c r="C438" s="129"/>
      <c r="D438" s="145"/>
      <c r="E438" s="111"/>
      <c r="F438" s="111"/>
      <c r="G438" s="111"/>
      <c r="H438" s="111"/>
      <c r="I438" s="110"/>
      <c r="J438" s="104">
        <f>SUM(J439:J447)</f>
        <v>263673.38873000001</v>
      </c>
      <c r="K438" s="112"/>
      <c r="L438" s="112"/>
    </row>
    <row r="439" spans="1:13" s="18" customFormat="1" outlineLevel="2" x14ac:dyDescent="0.3">
      <c r="A439" s="75" t="s">
        <v>535</v>
      </c>
      <c r="B439" s="114" t="s">
        <v>521</v>
      </c>
      <c r="C439" s="77" t="s">
        <v>10</v>
      </c>
      <c r="D439" s="77">
        <v>35</v>
      </c>
      <c r="E439" s="88"/>
      <c r="F439" s="88"/>
      <c r="G439" s="88">
        <v>496.13</v>
      </c>
      <c r="H439" s="88"/>
      <c r="I439" s="87"/>
      <c r="J439" s="87">
        <f t="shared" ref="J439:J447" si="36">G439*D439</f>
        <v>17364.55</v>
      </c>
      <c r="K439" s="80" t="s">
        <v>650</v>
      </c>
      <c r="L439" s="80" t="s">
        <v>705</v>
      </c>
      <c r="M439" s="48"/>
    </row>
    <row r="440" spans="1:13" s="18" customFormat="1" outlineLevel="2" x14ac:dyDescent="0.3">
      <c r="A440" s="75" t="s">
        <v>536</v>
      </c>
      <c r="B440" s="114" t="s">
        <v>515</v>
      </c>
      <c r="C440" s="77" t="s">
        <v>10</v>
      </c>
      <c r="D440" s="77">
        <f>16.76+26.69+22.08+26.03</f>
        <v>91.56</v>
      </c>
      <c r="E440" s="88"/>
      <c r="F440" s="88"/>
      <c r="G440" s="88">
        <v>481.64</v>
      </c>
      <c r="H440" s="88"/>
      <c r="I440" s="87"/>
      <c r="J440" s="87">
        <f t="shared" si="36"/>
        <v>44098.958400000003</v>
      </c>
      <c r="K440" s="80" t="s">
        <v>587</v>
      </c>
      <c r="L440" s="80" t="s">
        <v>705</v>
      </c>
      <c r="M440" s="48"/>
    </row>
    <row r="441" spans="1:13" s="18" customFormat="1" outlineLevel="2" x14ac:dyDescent="0.3">
      <c r="A441" s="75" t="s">
        <v>537</v>
      </c>
      <c r="B441" s="114" t="s">
        <v>516</v>
      </c>
      <c r="C441" s="77" t="s">
        <v>10</v>
      </c>
      <c r="D441" s="77">
        <f>43.04+9.32+8.75+7.13+11.33+5.08</f>
        <v>84.649999999999991</v>
      </c>
      <c r="E441" s="88"/>
      <c r="F441" s="88"/>
      <c r="G441" s="88">
        <v>400</v>
      </c>
      <c r="H441" s="88"/>
      <c r="I441" s="87"/>
      <c r="J441" s="87">
        <f t="shared" si="36"/>
        <v>33860</v>
      </c>
      <c r="K441" s="80"/>
      <c r="L441" s="80"/>
      <c r="M441" s="48"/>
    </row>
    <row r="442" spans="1:13" s="18" customFormat="1" outlineLevel="2" x14ac:dyDescent="0.3">
      <c r="A442" s="75" t="s">
        <v>538</v>
      </c>
      <c r="B442" s="114" t="s">
        <v>517</v>
      </c>
      <c r="C442" s="77" t="s">
        <v>5</v>
      </c>
      <c r="D442" s="77">
        <v>25.65</v>
      </c>
      <c r="E442" s="88"/>
      <c r="F442" s="88"/>
      <c r="G442" s="88">
        <v>2000</v>
      </c>
      <c r="H442" s="88"/>
      <c r="I442" s="87"/>
      <c r="J442" s="87">
        <f t="shared" si="36"/>
        <v>51300</v>
      </c>
      <c r="K442" s="80"/>
      <c r="L442" s="80"/>
      <c r="M442" s="48"/>
    </row>
    <row r="443" spans="1:13" s="18" customFormat="1" outlineLevel="2" x14ac:dyDescent="0.3">
      <c r="A443" s="75" t="s">
        <v>539</v>
      </c>
      <c r="B443" s="114" t="s">
        <v>518</v>
      </c>
      <c r="C443" s="77" t="s">
        <v>10</v>
      </c>
      <c r="D443" s="77">
        <f>15.55+18.35</f>
        <v>33.900000000000006</v>
      </c>
      <c r="E443" s="88"/>
      <c r="F443" s="88"/>
      <c r="G443" s="88">
        <v>400</v>
      </c>
      <c r="H443" s="88"/>
      <c r="I443" s="87"/>
      <c r="J443" s="96">
        <f t="shared" si="36"/>
        <v>13560.000000000002</v>
      </c>
      <c r="K443" s="80"/>
      <c r="L443" s="80"/>
      <c r="M443" s="48"/>
    </row>
    <row r="444" spans="1:13" s="18" customFormat="1" outlineLevel="2" x14ac:dyDescent="0.3">
      <c r="A444" s="75" t="s">
        <v>540</v>
      </c>
      <c r="B444" s="114" t="s">
        <v>519</v>
      </c>
      <c r="C444" s="77" t="s">
        <v>5</v>
      </c>
      <c r="D444" s="77">
        <v>770</v>
      </c>
      <c r="E444" s="88"/>
      <c r="F444" s="88"/>
      <c r="G444" s="88">
        <v>26.29</v>
      </c>
      <c r="H444" s="88"/>
      <c r="I444" s="87"/>
      <c r="J444" s="87">
        <f t="shared" si="36"/>
        <v>20243.3</v>
      </c>
      <c r="K444" s="80" t="s">
        <v>573</v>
      </c>
      <c r="L444" s="80" t="s">
        <v>705</v>
      </c>
      <c r="M444" s="48"/>
    </row>
    <row r="445" spans="1:13" s="18" customFormat="1" outlineLevel="2" x14ac:dyDescent="0.3">
      <c r="A445" s="75" t="s">
        <v>541</v>
      </c>
      <c r="B445" s="114" t="s">
        <v>946</v>
      </c>
      <c r="C445" s="77" t="s">
        <v>6</v>
      </c>
      <c r="D445" s="77">
        <v>30</v>
      </c>
      <c r="E445" s="88"/>
      <c r="F445" s="88"/>
      <c r="G445" s="88">
        <f>2*3.1415*0.6*1.5*87.13+82.88*5.6*2</f>
        <v>1420.9500109999999</v>
      </c>
      <c r="H445" s="88"/>
      <c r="I445" s="87"/>
      <c r="J445" s="96">
        <f t="shared" si="36"/>
        <v>42628.500329999995</v>
      </c>
      <c r="K445" s="80"/>
      <c r="L445" s="80"/>
      <c r="M445" s="48"/>
    </row>
    <row r="446" spans="1:13" s="18" customFormat="1" outlineLevel="2" x14ac:dyDescent="0.3">
      <c r="A446" s="75" t="s">
        <v>542</v>
      </c>
      <c r="B446" s="114" t="s">
        <v>520</v>
      </c>
      <c r="C446" s="77" t="s">
        <v>5</v>
      </c>
      <c r="D446" s="77">
        <f>18*2</f>
        <v>36</v>
      </c>
      <c r="E446" s="88">
        <v>192.18</v>
      </c>
      <c r="F446" s="88">
        <v>61.1</v>
      </c>
      <c r="G446" s="97">
        <v>253.28</v>
      </c>
      <c r="H446" s="97"/>
      <c r="I446" s="98"/>
      <c r="J446" s="87">
        <f t="shared" si="36"/>
        <v>9118.08</v>
      </c>
      <c r="K446" s="80" t="s">
        <v>728</v>
      </c>
      <c r="L446" s="80" t="s">
        <v>707</v>
      </c>
      <c r="M446" s="3"/>
    </row>
    <row r="447" spans="1:13" s="18" customFormat="1" outlineLevel="2" x14ac:dyDescent="0.3">
      <c r="A447" s="75" t="s">
        <v>543</v>
      </c>
      <c r="B447" s="114" t="s">
        <v>917</v>
      </c>
      <c r="C447" s="77" t="s">
        <v>6</v>
      </c>
      <c r="D447" s="77">
        <v>18</v>
      </c>
      <c r="E447" s="88"/>
      <c r="F447" s="88"/>
      <c r="G447" s="88">
        <v>1750</v>
      </c>
      <c r="H447" s="88"/>
      <c r="I447" s="87"/>
      <c r="J447" s="96">
        <f t="shared" si="36"/>
        <v>31500</v>
      </c>
      <c r="K447" s="80"/>
      <c r="L447" s="80"/>
      <c r="M447" s="48"/>
    </row>
    <row r="448" spans="1:13" s="24" customFormat="1" x14ac:dyDescent="0.3">
      <c r="A448" s="92">
        <v>23</v>
      </c>
      <c r="B448" s="93" t="s">
        <v>143</v>
      </c>
      <c r="C448" s="94"/>
      <c r="D448" s="92"/>
      <c r="E448" s="95"/>
      <c r="F448" s="95"/>
      <c r="G448" s="95"/>
      <c r="H448" s="95"/>
      <c r="I448" s="95"/>
      <c r="J448" s="95"/>
      <c r="K448" s="95"/>
      <c r="L448" s="95"/>
    </row>
    <row r="449" spans="1:12" s="3" customFormat="1" outlineLevel="2" x14ac:dyDescent="0.3">
      <c r="A449" s="75"/>
      <c r="B449" s="114"/>
      <c r="C449" s="77"/>
      <c r="D449" s="77"/>
      <c r="E449" s="97"/>
      <c r="F449" s="97"/>
      <c r="G449" s="97"/>
      <c r="H449" s="97"/>
      <c r="I449" s="98"/>
      <c r="J449" s="121"/>
      <c r="K449" s="80"/>
      <c r="L449" s="80"/>
    </row>
    <row r="450" spans="1:12" s="3" customFormat="1" outlineLevel="2" x14ac:dyDescent="0.3">
      <c r="A450" s="75"/>
      <c r="B450" s="114"/>
      <c r="C450" s="77"/>
      <c r="D450" s="77"/>
      <c r="E450" s="97"/>
      <c r="F450" s="97"/>
      <c r="G450" s="97"/>
      <c r="H450" s="97"/>
      <c r="I450" s="98"/>
      <c r="J450" s="121"/>
      <c r="K450" s="80"/>
      <c r="L450" s="80"/>
    </row>
    <row r="451" spans="1:12" s="3" customFormat="1" outlineLevel="2" x14ac:dyDescent="0.3">
      <c r="A451" s="75"/>
      <c r="B451" s="114"/>
      <c r="C451" s="77"/>
      <c r="D451" s="77"/>
      <c r="E451" s="97"/>
      <c r="F451" s="97"/>
      <c r="G451" s="97"/>
      <c r="H451" s="97"/>
      <c r="I451" s="98"/>
      <c r="J451" s="121"/>
      <c r="K451" s="80"/>
      <c r="L451" s="80"/>
    </row>
    <row r="452" spans="1:12" s="3" customFormat="1" outlineLevel="2" x14ac:dyDescent="0.3">
      <c r="A452" s="75"/>
      <c r="B452" s="114"/>
      <c r="C452" s="77"/>
      <c r="D452" s="77"/>
      <c r="E452" s="97"/>
      <c r="F452" s="97"/>
      <c r="G452" s="97"/>
      <c r="H452" s="97"/>
      <c r="I452" s="98"/>
      <c r="J452" s="121"/>
      <c r="K452" s="80"/>
      <c r="L452" s="80"/>
    </row>
    <row r="453" spans="1:12" s="3" customFormat="1" x14ac:dyDescent="0.3">
      <c r="A453" s="38"/>
      <c r="B453" s="38"/>
      <c r="C453" s="39"/>
      <c r="D453" s="40"/>
      <c r="E453" s="40"/>
      <c r="F453" s="40"/>
      <c r="G453" s="40"/>
      <c r="H453" s="40"/>
      <c r="I453" s="166" t="s">
        <v>142</v>
      </c>
      <c r="J453" s="167">
        <f>J13+J34+J51+J60+J75+J108+J115+J126+J134+J182+J217+J260+J275+J357+J367+J397+J409+J416+J421+J424+J426+J433+J448</f>
        <v>35109392.307374492</v>
      </c>
      <c r="K453" s="45"/>
      <c r="L453" s="45"/>
    </row>
    <row r="454" spans="1:12" s="3" customFormat="1" x14ac:dyDescent="0.3">
      <c r="A454" s="25"/>
      <c r="B454" s="25"/>
      <c r="C454" s="26"/>
      <c r="D454" s="27"/>
      <c r="E454" s="27"/>
      <c r="F454" s="27"/>
      <c r="G454" s="27"/>
      <c r="H454" s="27"/>
      <c r="I454" s="28"/>
      <c r="J454" s="29"/>
    </row>
    <row r="455" spans="1:12" s="3" customFormat="1" x14ac:dyDescent="0.3">
      <c r="A455" s="1"/>
      <c r="B455" s="1"/>
      <c r="C455" s="2"/>
      <c r="I455" s="2"/>
    </row>
    <row r="456" spans="1:12" s="3" customFormat="1" x14ac:dyDescent="0.3">
      <c r="A456" s="1"/>
      <c r="C456" s="2"/>
      <c r="I456" s="2"/>
      <c r="J456" s="4"/>
    </row>
    <row r="457" spans="1:12" s="3" customFormat="1" x14ac:dyDescent="0.3">
      <c r="A457" s="5"/>
      <c r="B457" s="1"/>
      <c r="C457" s="2"/>
      <c r="I457" s="2"/>
    </row>
    <row r="458" spans="1:12" s="3" customFormat="1" x14ac:dyDescent="0.3">
      <c r="A458" s="5"/>
      <c r="B458" s="1"/>
      <c r="C458" s="2"/>
      <c r="I458" s="2"/>
    </row>
    <row r="459" spans="1:12" s="3" customFormat="1" x14ac:dyDescent="0.3">
      <c r="B459" s="5"/>
      <c r="C459" s="2"/>
      <c r="I459" s="2"/>
      <c r="J459" s="162"/>
    </row>
    <row r="460" spans="1:12" s="3" customFormat="1" x14ac:dyDescent="0.3">
      <c r="C460" s="2"/>
      <c r="I460" s="2"/>
    </row>
    <row r="461" spans="1:12" s="3" customFormat="1" x14ac:dyDescent="0.3">
      <c r="C461" s="2"/>
      <c r="I461" s="2"/>
    </row>
    <row r="462" spans="1:12" s="3" customFormat="1" x14ac:dyDescent="0.3">
      <c r="C462" s="2"/>
      <c r="I462" s="2"/>
    </row>
    <row r="463" spans="1:12" s="3" customFormat="1" x14ac:dyDescent="0.3">
      <c r="C463" s="2"/>
      <c r="I463" s="2"/>
    </row>
    <row r="464" spans="1:12" s="3" customFormat="1" x14ac:dyDescent="0.3">
      <c r="C464" s="2"/>
      <c r="I464" s="2"/>
    </row>
    <row r="465" spans="3:9" s="3" customFormat="1" x14ac:dyDescent="0.3">
      <c r="C465" s="2"/>
      <c r="I465" s="2"/>
    </row>
    <row r="466" spans="3:9" s="3" customFormat="1" x14ac:dyDescent="0.3">
      <c r="C466" s="2"/>
      <c r="I466" s="2"/>
    </row>
    <row r="467" spans="3:9" s="3" customFormat="1" x14ac:dyDescent="0.3">
      <c r="C467" s="2"/>
      <c r="I467" s="2"/>
    </row>
    <row r="468" spans="3:9" s="3" customFormat="1" x14ac:dyDescent="0.3">
      <c r="C468" s="2"/>
      <c r="I468" s="2"/>
    </row>
    <row r="469" spans="3:9" s="3" customFormat="1" x14ac:dyDescent="0.3">
      <c r="C469" s="2"/>
      <c r="I469" s="2"/>
    </row>
    <row r="470" spans="3:9" s="3" customFormat="1" x14ac:dyDescent="0.3">
      <c r="C470" s="2"/>
      <c r="I470" s="2"/>
    </row>
    <row r="471" spans="3:9" s="3" customFormat="1" x14ac:dyDescent="0.3">
      <c r="C471" s="2"/>
      <c r="I471" s="2"/>
    </row>
    <row r="472" spans="3:9" s="3" customFormat="1" x14ac:dyDescent="0.3">
      <c r="C472" s="2"/>
      <c r="I472" s="2"/>
    </row>
    <row r="473" spans="3:9" s="3" customFormat="1" x14ac:dyDescent="0.3">
      <c r="C473" s="2"/>
      <c r="I473" s="2"/>
    </row>
    <row r="474" spans="3:9" s="3" customFormat="1" x14ac:dyDescent="0.3">
      <c r="C474" s="2"/>
      <c r="I474" s="2"/>
    </row>
    <row r="475" spans="3:9" s="3" customFormat="1" x14ac:dyDescent="0.3">
      <c r="C475" s="2"/>
      <c r="I475" s="2"/>
    </row>
    <row r="476" spans="3:9" s="3" customFormat="1" x14ac:dyDescent="0.3">
      <c r="C476" s="2"/>
      <c r="I476" s="2"/>
    </row>
    <row r="477" spans="3:9" s="3" customFormat="1" x14ac:dyDescent="0.3">
      <c r="C477" s="2"/>
      <c r="I477" s="2"/>
    </row>
    <row r="478" spans="3:9" s="3" customFormat="1" x14ac:dyDescent="0.3">
      <c r="C478" s="2"/>
      <c r="I478" s="2"/>
    </row>
    <row r="479" spans="3:9" s="3" customFormat="1" x14ac:dyDescent="0.3">
      <c r="C479" s="2"/>
      <c r="I479" s="2"/>
    </row>
    <row r="480" spans="3:9" s="3" customFormat="1" x14ac:dyDescent="0.3">
      <c r="C480" s="2"/>
      <c r="I480" s="2"/>
    </row>
    <row r="481" spans="1:10" s="3" customFormat="1" x14ac:dyDescent="0.3">
      <c r="C481" s="2"/>
      <c r="I481" s="2"/>
    </row>
    <row r="482" spans="1:10" s="3" customFormat="1" x14ac:dyDescent="0.3">
      <c r="C482" s="2"/>
      <c r="I482" s="2"/>
    </row>
    <row r="483" spans="1:10" s="3" customFormat="1" x14ac:dyDescent="0.3">
      <c r="C483" s="2"/>
      <c r="I483" s="2"/>
    </row>
    <row r="484" spans="1:10" s="3" customFormat="1" x14ac:dyDescent="0.3">
      <c r="C484" s="2"/>
      <c r="I484" s="2"/>
    </row>
    <row r="485" spans="1:10" s="3" customFormat="1" x14ac:dyDescent="0.3">
      <c r="C485" s="2"/>
      <c r="I485" s="2"/>
    </row>
    <row r="486" spans="1:10" s="3" customFormat="1" x14ac:dyDescent="0.3">
      <c r="C486" s="2"/>
      <c r="I486" s="2"/>
    </row>
    <row r="487" spans="1:10" s="3" customFormat="1" x14ac:dyDescent="0.3">
      <c r="C487" s="2"/>
      <c r="I487" s="2"/>
    </row>
    <row r="488" spans="1:10" s="3" customFormat="1" x14ac:dyDescent="0.3">
      <c r="C488" s="2"/>
      <c r="I488" s="2"/>
    </row>
    <row r="489" spans="1:10" s="3" customFormat="1" x14ac:dyDescent="0.3">
      <c r="C489" s="2"/>
      <c r="I489" s="2"/>
    </row>
    <row r="490" spans="1:10" s="3" customFormat="1" x14ac:dyDescent="0.3">
      <c r="C490" s="2"/>
      <c r="I490" s="2"/>
    </row>
    <row r="491" spans="1:10" s="3" customFormat="1" x14ac:dyDescent="0.3">
      <c r="C491" s="2"/>
      <c r="I491" s="2"/>
    </row>
    <row r="492" spans="1:10" x14ac:dyDescent="0.3">
      <c r="A492" s="3"/>
      <c r="B492" s="3"/>
      <c r="C492" s="2"/>
      <c r="D492" s="3"/>
      <c r="E492" s="3"/>
      <c r="F492" s="3"/>
      <c r="G492" s="3"/>
      <c r="H492" s="3"/>
      <c r="I492" s="2"/>
      <c r="J492" s="3"/>
    </row>
    <row r="493" spans="1:10" x14ac:dyDescent="0.3">
      <c r="A493" s="3"/>
      <c r="B493" s="3"/>
      <c r="C493" s="2"/>
      <c r="D493" s="3"/>
      <c r="E493" s="3"/>
      <c r="F493" s="3"/>
      <c r="G493" s="3"/>
      <c r="H493" s="3"/>
      <c r="I493" s="2"/>
      <c r="J493" s="3"/>
    </row>
    <row r="494" spans="1:10" x14ac:dyDescent="0.3">
      <c r="A494" s="3"/>
      <c r="B494" s="3"/>
      <c r="C494" s="2"/>
      <c r="D494" s="3"/>
      <c r="E494" s="3"/>
      <c r="F494" s="3"/>
      <c r="G494" s="3"/>
      <c r="H494" s="3"/>
      <c r="I494" s="2"/>
      <c r="J494" s="3"/>
    </row>
    <row r="495" spans="1:10" x14ac:dyDescent="0.3">
      <c r="A495" s="3"/>
      <c r="B495" s="3"/>
      <c r="C495" s="2"/>
      <c r="D495" s="3"/>
      <c r="E495" s="3"/>
      <c r="F495" s="3"/>
      <c r="G495" s="3"/>
      <c r="H495" s="3"/>
      <c r="I495" s="2"/>
      <c r="J495" s="3"/>
    </row>
    <row r="496" spans="1:10" x14ac:dyDescent="0.3">
      <c r="A496" s="3"/>
      <c r="B496" s="3"/>
      <c r="C496" s="2"/>
      <c r="D496" s="3"/>
      <c r="E496" s="3"/>
      <c r="F496" s="3"/>
      <c r="G496" s="3"/>
      <c r="H496" s="3"/>
      <c r="I496" s="2"/>
      <c r="J496" s="3"/>
    </row>
    <row r="497" spans="1:10" x14ac:dyDescent="0.3">
      <c r="A497" s="3"/>
      <c r="B497" s="3"/>
      <c r="C497" s="2"/>
      <c r="D497" s="3"/>
      <c r="E497" s="3"/>
      <c r="F497" s="3"/>
      <c r="G497" s="3"/>
      <c r="H497" s="3"/>
      <c r="I497" s="2"/>
      <c r="J497" s="3"/>
    </row>
    <row r="498" spans="1:10" x14ac:dyDescent="0.3">
      <c r="A498" s="3"/>
      <c r="B498" s="3"/>
      <c r="C498" s="2"/>
      <c r="D498" s="3"/>
      <c r="E498" s="3"/>
      <c r="F498" s="3"/>
      <c r="G498" s="3"/>
      <c r="H498" s="3"/>
      <c r="I498" s="2"/>
      <c r="J498" s="3"/>
    </row>
    <row r="499" spans="1:10" x14ac:dyDescent="0.3">
      <c r="A499" s="3"/>
      <c r="B499" s="3"/>
      <c r="C499" s="2"/>
      <c r="D499" s="3"/>
      <c r="E499" s="3"/>
      <c r="F499" s="3"/>
      <c r="G499" s="3"/>
      <c r="H499" s="3"/>
      <c r="I499" s="2"/>
      <c r="J499" s="3"/>
    </row>
    <row r="500" spans="1:10" x14ac:dyDescent="0.3">
      <c r="A500" s="3"/>
      <c r="B500" s="3"/>
      <c r="C500" s="2"/>
      <c r="D500" s="3"/>
      <c r="E500" s="3"/>
      <c r="F500" s="3"/>
      <c r="G500" s="3"/>
      <c r="H500" s="3"/>
      <c r="I500" s="2"/>
      <c r="J500" s="3"/>
    </row>
    <row r="501" spans="1:10" x14ac:dyDescent="0.3">
      <c r="A501" s="3"/>
      <c r="B501" s="3"/>
      <c r="C501" s="2"/>
      <c r="D501" s="3"/>
      <c r="E501" s="3"/>
      <c r="F501" s="3"/>
      <c r="G501" s="3"/>
      <c r="H501" s="3"/>
      <c r="I501" s="2"/>
      <c r="J501" s="3"/>
    </row>
    <row r="502" spans="1:10" x14ac:dyDescent="0.3">
      <c r="A502" s="3"/>
      <c r="B502" s="3"/>
      <c r="C502" s="2"/>
      <c r="D502" s="3"/>
      <c r="E502" s="3"/>
      <c r="F502" s="3"/>
      <c r="G502" s="3"/>
      <c r="H502" s="3"/>
      <c r="I502" s="2"/>
      <c r="J502" s="3"/>
    </row>
    <row r="503" spans="1:10" x14ac:dyDescent="0.3">
      <c r="A503" s="3"/>
      <c r="B503" s="3"/>
      <c r="C503" s="2"/>
      <c r="D503" s="3"/>
      <c r="E503" s="3"/>
      <c r="F503" s="3"/>
      <c r="G503" s="3"/>
      <c r="H503" s="3"/>
      <c r="I503" s="2"/>
      <c r="J503" s="3"/>
    </row>
    <row r="504" spans="1:10" x14ac:dyDescent="0.3">
      <c r="A504" s="3"/>
      <c r="B504" s="3"/>
      <c r="C504" s="2"/>
      <c r="D504" s="3"/>
      <c r="E504" s="3"/>
      <c r="F504" s="3"/>
      <c r="G504" s="3"/>
      <c r="H504" s="3"/>
      <c r="I504" s="2"/>
      <c r="J504" s="3"/>
    </row>
    <row r="505" spans="1:10" x14ac:dyDescent="0.3">
      <c r="A505" s="3"/>
      <c r="B505" s="3"/>
      <c r="C505" s="2"/>
      <c r="D505" s="3"/>
      <c r="E505" s="3"/>
      <c r="F505" s="3"/>
      <c r="G505" s="3"/>
      <c r="H505" s="3"/>
      <c r="I505" s="2"/>
      <c r="J505" s="3"/>
    </row>
    <row r="506" spans="1:10" x14ac:dyDescent="0.3">
      <c r="A506" s="3"/>
      <c r="B506" s="3"/>
      <c r="C506" s="2"/>
      <c r="D506" s="3"/>
      <c r="E506" s="3"/>
      <c r="F506" s="3"/>
      <c r="G506" s="3"/>
      <c r="H506" s="3"/>
      <c r="I506" s="2"/>
      <c r="J506" s="3"/>
    </row>
    <row r="507" spans="1:10" x14ac:dyDescent="0.3">
      <c r="A507" s="3"/>
      <c r="B507" s="3"/>
      <c r="C507" s="2"/>
      <c r="D507" s="3"/>
      <c r="E507" s="3"/>
      <c r="F507" s="3"/>
      <c r="G507" s="3"/>
      <c r="H507" s="3"/>
      <c r="I507" s="2"/>
      <c r="J507" s="3"/>
    </row>
    <row r="508" spans="1:10" x14ac:dyDescent="0.3">
      <c r="A508" s="3"/>
      <c r="B508" s="3"/>
      <c r="C508" s="2"/>
      <c r="D508" s="3"/>
      <c r="E508" s="3"/>
      <c r="F508" s="3"/>
      <c r="G508" s="3"/>
      <c r="H508" s="3"/>
      <c r="I508" s="2"/>
      <c r="J508" s="3"/>
    </row>
    <row r="509" spans="1:10" x14ac:dyDescent="0.3">
      <c r="A509" s="3"/>
      <c r="B509" s="3"/>
      <c r="C509" s="2"/>
      <c r="D509" s="3"/>
      <c r="E509" s="3"/>
      <c r="F509" s="3"/>
      <c r="G509" s="3"/>
      <c r="H509" s="3"/>
      <c r="I509" s="2"/>
      <c r="J509" s="3"/>
    </row>
    <row r="510" spans="1:10" x14ac:dyDescent="0.3">
      <c r="A510" s="3"/>
      <c r="B510" s="3"/>
      <c r="C510" s="2"/>
      <c r="D510" s="3"/>
      <c r="E510" s="3"/>
      <c r="F510" s="3"/>
      <c r="G510" s="3"/>
      <c r="H510" s="3"/>
      <c r="I510" s="2"/>
      <c r="J510" s="3"/>
    </row>
    <row r="511" spans="1:10" x14ac:dyDescent="0.3">
      <c r="A511" s="3"/>
      <c r="B511" s="3"/>
      <c r="C511" s="2"/>
      <c r="D511" s="3"/>
      <c r="E511" s="3"/>
      <c r="F511" s="3"/>
      <c r="G511" s="3"/>
      <c r="H511" s="3"/>
      <c r="I511" s="2"/>
      <c r="J511" s="3"/>
    </row>
    <row r="512" spans="1:10" x14ac:dyDescent="0.3">
      <c r="A512" s="3"/>
      <c r="B512" s="3"/>
      <c r="C512" s="2"/>
      <c r="D512" s="3"/>
      <c r="E512" s="3"/>
      <c r="F512" s="3"/>
      <c r="G512" s="3"/>
      <c r="H512" s="3"/>
      <c r="I512" s="2"/>
      <c r="J512" s="3"/>
    </row>
    <row r="513" spans="1:10" x14ac:dyDescent="0.3">
      <c r="A513" s="3"/>
      <c r="B513" s="3"/>
      <c r="C513" s="2"/>
      <c r="D513" s="3"/>
      <c r="E513" s="3"/>
      <c r="F513" s="3"/>
      <c r="G513" s="3"/>
      <c r="H513" s="3"/>
      <c r="I513" s="2"/>
      <c r="J513" s="3"/>
    </row>
    <row r="514" spans="1:10" x14ac:dyDescent="0.3">
      <c r="A514" s="3"/>
      <c r="B514" s="3"/>
      <c r="C514" s="2"/>
      <c r="D514" s="3"/>
      <c r="E514" s="3"/>
      <c r="F514" s="3"/>
      <c r="G514" s="3"/>
      <c r="H514" s="3"/>
      <c r="I514" s="2"/>
      <c r="J514" s="3"/>
    </row>
    <row r="515" spans="1:10" x14ac:dyDescent="0.3">
      <c r="A515" s="3"/>
      <c r="B515" s="3"/>
      <c r="C515" s="2"/>
      <c r="D515" s="3"/>
      <c r="E515" s="3"/>
      <c r="F515" s="3"/>
      <c r="G515" s="3"/>
      <c r="H515" s="3"/>
      <c r="I515" s="2"/>
      <c r="J515" s="3"/>
    </row>
    <row r="516" spans="1:10" x14ac:dyDescent="0.3">
      <c r="A516" s="3"/>
      <c r="B516" s="3"/>
      <c r="C516" s="2"/>
      <c r="D516" s="3"/>
      <c r="E516" s="3"/>
      <c r="F516" s="3"/>
      <c r="G516" s="3"/>
      <c r="H516" s="3"/>
      <c r="I516" s="2"/>
      <c r="J516" s="3"/>
    </row>
    <row r="517" spans="1:10" x14ac:dyDescent="0.3">
      <c r="A517" s="3"/>
      <c r="B517" s="3"/>
      <c r="C517" s="2"/>
      <c r="D517" s="3"/>
      <c r="E517" s="3"/>
      <c r="F517" s="3"/>
      <c r="G517" s="3"/>
      <c r="H517" s="3"/>
      <c r="I517" s="2"/>
      <c r="J517" s="3"/>
    </row>
    <row r="518" spans="1:10" x14ac:dyDescent="0.3">
      <c r="A518" s="3"/>
      <c r="B518" s="3"/>
      <c r="C518" s="2"/>
      <c r="D518" s="3"/>
      <c r="E518" s="3"/>
      <c r="F518" s="3"/>
      <c r="G518" s="3"/>
      <c r="H518" s="3"/>
      <c r="I518" s="2"/>
      <c r="J518" s="3"/>
    </row>
    <row r="519" spans="1:10" x14ac:dyDescent="0.3">
      <c r="A519" s="3"/>
      <c r="B519" s="3"/>
      <c r="C519" s="2"/>
      <c r="D519" s="3"/>
      <c r="E519" s="3"/>
      <c r="F519" s="3"/>
      <c r="G519" s="3"/>
      <c r="H519" s="3"/>
      <c r="I519" s="2"/>
      <c r="J519" s="3"/>
    </row>
    <row r="520" spans="1:10" x14ac:dyDescent="0.3">
      <c r="A520" s="3"/>
      <c r="B520" s="3"/>
      <c r="C520" s="2"/>
      <c r="D520" s="3"/>
      <c r="E520" s="3"/>
      <c r="F520" s="3"/>
      <c r="G520" s="3"/>
      <c r="H520" s="3"/>
      <c r="I520" s="2"/>
      <c r="J520" s="3"/>
    </row>
    <row r="521" spans="1:10" x14ac:dyDescent="0.3">
      <c r="A521" s="3"/>
      <c r="B521" s="3"/>
      <c r="C521" s="2"/>
      <c r="D521" s="3"/>
      <c r="E521" s="3"/>
      <c r="F521" s="3"/>
      <c r="G521" s="3"/>
      <c r="H521" s="3"/>
      <c r="I521" s="2"/>
      <c r="J521" s="3"/>
    </row>
    <row r="522" spans="1:10" x14ac:dyDescent="0.3">
      <c r="A522" s="3"/>
      <c r="B522" s="3"/>
      <c r="C522" s="2"/>
      <c r="D522" s="3"/>
      <c r="E522" s="3"/>
      <c r="F522" s="3"/>
      <c r="G522" s="3"/>
      <c r="H522" s="3"/>
      <c r="I522" s="2"/>
      <c r="J522" s="3"/>
    </row>
    <row r="523" spans="1:10" x14ac:dyDescent="0.3">
      <c r="A523" s="3"/>
      <c r="B523" s="3"/>
      <c r="C523" s="2"/>
      <c r="D523" s="3"/>
      <c r="E523" s="3"/>
      <c r="F523" s="3"/>
      <c r="G523" s="3"/>
      <c r="H523" s="3"/>
      <c r="I523" s="2"/>
      <c r="J523" s="3"/>
    </row>
    <row r="524" spans="1:10" x14ac:dyDescent="0.3">
      <c r="A524" s="3"/>
      <c r="B524" s="3"/>
      <c r="C524" s="2"/>
      <c r="D524" s="3"/>
      <c r="E524" s="3"/>
      <c r="F524" s="3"/>
      <c r="G524" s="3"/>
      <c r="H524" s="3"/>
      <c r="I524" s="2"/>
      <c r="J524" s="3"/>
    </row>
    <row r="525" spans="1:10" x14ac:dyDescent="0.3">
      <c r="A525" s="3"/>
      <c r="B525" s="3"/>
      <c r="C525" s="2"/>
      <c r="D525" s="3"/>
      <c r="E525" s="3"/>
      <c r="F525" s="3"/>
      <c r="G525" s="3"/>
      <c r="H525" s="3"/>
      <c r="I525" s="2"/>
      <c r="J525" s="3"/>
    </row>
    <row r="526" spans="1:10" x14ac:dyDescent="0.3">
      <c r="A526" s="3"/>
      <c r="B526" s="3"/>
      <c r="C526" s="2"/>
      <c r="D526" s="3"/>
      <c r="E526" s="3"/>
      <c r="F526" s="3"/>
      <c r="G526" s="3"/>
      <c r="H526" s="3"/>
      <c r="I526" s="2"/>
      <c r="J526" s="3"/>
    </row>
    <row r="527" spans="1:10" x14ac:dyDescent="0.3">
      <c r="A527" s="3"/>
      <c r="B527" s="3"/>
      <c r="C527" s="2"/>
      <c r="D527" s="3"/>
      <c r="E527" s="3"/>
      <c r="F527" s="3"/>
      <c r="G527" s="3"/>
      <c r="H527" s="3"/>
      <c r="I527" s="2"/>
      <c r="J527" s="3"/>
    </row>
    <row r="528" spans="1:10" x14ac:dyDescent="0.3">
      <c r="A528" s="3"/>
      <c r="B528" s="3"/>
      <c r="C528" s="2"/>
      <c r="D528" s="3"/>
      <c r="E528" s="3"/>
      <c r="F528" s="3"/>
      <c r="G528" s="3"/>
      <c r="H528" s="3"/>
      <c r="I528" s="2"/>
      <c r="J528" s="3"/>
    </row>
    <row r="529" spans="1:10" x14ac:dyDescent="0.3">
      <c r="A529" s="3"/>
      <c r="B529" s="3"/>
      <c r="C529" s="2"/>
      <c r="D529" s="3"/>
      <c r="E529" s="3"/>
      <c r="F529" s="3"/>
      <c r="G529" s="3"/>
      <c r="H529" s="3"/>
      <c r="I529" s="2"/>
      <c r="J529" s="3"/>
    </row>
    <row r="530" spans="1:10" x14ac:dyDescent="0.3">
      <c r="A530" s="3"/>
      <c r="B530" s="3"/>
      <c r="C530" s="2"/>
      <c r="D530" s="3"/>
      <c r="E530" s="3"/>
      <c r="F530" s="3"/>
      <c r="G530" s="3"/>
      <c r="H530" s="3"/>
      <c r="I530" s="2"/>
      <c r="J530" s="3"/>
    </row>
    <row r="531" spans="1:10" x14ac:dyDescent="0.3">
      <c r="A531" s="3"/>
      <c r="B531" s="3"/>
      <c r="C531" s="2"/>
      <c r="D531" s="3"/>
      <c r="E531" s="3"/>
      <c r="F531" s="3"/>
      <c r="G531" s="3"/>
      <c r="H531" s="3"/>
      <c r="I531" s="2"/>
      <c r="J531" s="3"/>
    </row>
    <row r="532" spans="1:10" x14ac:dyDescent="0.3">
      <c r="A532" s="3"/>
      <c r="B532" s="3"/>
      <c r="C532" s="2"/>
      <c r="D532" s="3"/>
      <c r="E532" s="3"/>
      <c r="F532" s="3"/>
      <c r="G532" s="3"/>
      <c r="H532" s="3"/>
      <c r="I532" s="2"/>
      <c r="J532" s="3"/>
    </row>
    <row r="533" spans="1:10" x14ac:dyDescent="0.3">
      <c r="A533" s="3"/>
      <c r="B533" s="3"/>
      <c r="C533" s="2"/>
      <c r="D533" s="3"/>
      <c r="E533" s="3"/>
      <c r="F533" s="3"/>
      <c r="G533" s="3"/>
      <c r="H533" s="3"/>
      <c r="I533" s="2"/>
      <c r="J533" s="3"/>
    </row>
    <row r="534" spans="1:10" x14ac:dyDescent="0.3">
      <c r="A534" s="3"/>
      <c r="B534" s="3"/>
      <c r="C534" s="2"/>
      <c r="D534" s="3"/>
      <c r="E534" s="3"/>
      <c r="F534" s="3"/>
      <c r="G534" s="3"/>
      <c r="H534" s="3"/>
      <c r="I534" s="2"/>
      <c r="J534" s="3"/>
    </row>
    <row r="535" spans="1:10" x14ac:dyDescent="0.3">
      <c r="A535" s="3"/>
      <c r="B535" s="3"/>
      <c r="C535" s="2"/>
      <c r="D535" s="3"/>
      <c r="E535" s="3"/>
      <c r="F535" s="3"/>
      <c r="G535" s="3"/>
      <c r="H535" s="3"/>
      <c r="I535" s="2"/>
      <c r="J535" s="3"/>
    </row>
    <row r="536" spans="1:10" x14ac:dyDescent="0.3">
      <c r="A536" s="3"/>
      <c r="B536" s="3"/>
      <c r="C536" s="2"/>
      <c r="D536" s="3"/>
      <c r="E536" s="3"/>
      <c r="F536" s="3"/>
      <c r="G536" s="3"/>
      <c r="H536" s="3"/>
      <c r="I536" s="2"/>
      <c r="J536" s="3"/>
    </row>
    <row r="537" spans="1:10" x14ac:dyDescent="0.3">
      <c r="A537" s="3"/>
      <c r="B537" s="3"/>
      <c r="C537" s="2"/>
      <c r="D537" s="3"/>
      <c r="E537" s="3"/>
      <c r="F537" s="3"/>
      <c r="G537" s="3"/>
      <c r="H537" s="3"/>
      <c r="I537" s="2"/>
      <c r="J537" s="3"/>
    </row>
    <row r="538" spans="1:10" x14ac:dyDescent="0.3">
      <c r="A538" s="3"/>
      <c r="B538" s="3"/>
      <c r="C538" s="2"/>
      <c r="D538" s="3"/>
      <c r="E538" s="3"/>
      <c r="F538" s="3"/>
      <c r="G538" s="3"/>
      <c r="H538" s="3"/>
      <c r="I538" s="2"/>
      <c r="J538" s="3"/>
    </row>
    <row r="539" spans="1:10" x14ac:dyDescent="0.3">
      <c r="A539" s="3"/>
      <c r="B539" s="3"/>
      <c r="C539" s="2"/>
      <c r="D539" s="3"/>
      <c r="E539" s="3"/>
      <c r="F539" s="3"/>
      <c r="G539" s="3"/>
      <c r="H539" s="3"/>
      <c r="I539" s="2"/>
      <c r="J539" s="3"/>
    </row>
    <row r="540" spans="1:10" x14ac:dyDescent="0.3">
      <c r="A540" s="3"/>
      <c r="B540" s="3"/>
      <c r="C540" s="2"/>
      <c r="D540" s="3"/>
      <c r="E540" s="3"/>
      <c r="F540" s="3"/>
      <c r="G540" s="3"/>
      <c r="H540" s="3"/>
      <c r="I540" s="2"/>
      <c r="J540" s="3"/>
    </row>
    <row r="541" spans="1:10" x14ac:dyDescent="0.3">
      <c r="A541" s="3"/>
      <c r="B541" s="3"/>
      <c r="C541" s="2"/>
      <c r="D541" s="3"/>
      <c r="E541" s="3"/>
      <c r="F541" s="3"/>
      <c r="G541" s="3"/>
      <c r="H541" s="3"/>
      <c r="I541" s="2"/>
      <c r="J541" s="3"/>
    </row>
    <row r="542" spans="1:10" x14ac:dyDescent="0.3">
      <c r="A542" s="3"/>
      <c r="B542" s="3"/>
      <c r="C542" s="2"/>
      <c r="D542" s="3"/>
      <c r="E542" s="3"/>
      <c r="F542" s="3"/>
      <c r="G542" s="3"/>
      <c r="H542" s="3"/>
      <c r="I542" s="2"/>
      <c r="J542" s="3"/>
    </row>
    <row r="543" spans="1:10" x14ac:dyDescent="0.3">
      <c r="A543" s="3"/>
      <c r="B543" s="3"/>
      <c r="C543" s="2"/>
      <c r="D543" s="3"/>
      <c r="E543" s="3"/>
      <c r="F543" s="3"/>
      <c r="G543" s="3"/>
      <c r="H543" s="3"/>
      <c r="I543" s="2"/>
      <c r="J543" s="3"/>
    </row>
    <row r="544" spans="1:10" x14ac:dyDescent="0.3">
      <c r="A544" s="3"/>
      <c r="B544" s="3"/>
      <c r="C544" s="2"/>
      <c r="D544" s="3"/>
      <c r="E544" s="3"/>
      <c r="F544" s="3"/>
      <c r="G544" s="3"/>
      <c r="H544" s="3"/>
      <c r="I544" s="2"/>
      <c r="J544" s="3"/>
    </row>
    <row r="545" spans="1:10" x14ac:dyDescent="0.3">
      <c r="A545" s="3"/>
      <c r="B545" s="3"/>
      <c r="C545" s="2"/>
      <c r="D545" s="3"/>
      <c r="E545" s="3"/>
      <c r="F545" s="3"/>
      <c r="G545" s="3"/>
      <c r="H545" s="3"/>
      <c r="I545" s="2"/>
      <c r="J545" s="3"/>
    </row>
    <row r="546" spans="1:10" x14ac:dyDescent="0.3">
      <c r="A546" s="3"/>
      <c r="B546" s="3"/>
      <c r="C546" s="2"/>
      <c r="D546" s="3"/>
      <c r="E546" s="3"/>
      <c r="F546" s="3"/>
      <c r="G546" s="3"/>
      <c r="H546" s="3"/>
      <c r="I546" s="2"/>
      <c r="J546" s="3"/>
    </row>
    <row r="547" spans="1:10" x14ac:dyDescent="0.3">
      <c r="A547" s="3"/>
      <c r="B547" s="3"/>
      <c r="C547" s="2"/>
      <c r="D547" s="3"/>
      <c r="E547" s="3"/>
      <c r="F547" s="3"/>
      <c r="G547" s="3"/>
      <c r="H547" s="3"/>
      <c r="I547" s="2"/>
      <c r="J547" s="3"/>
    </row>
    <row r="548" spans="1:10" x14ac:dyDescent="0.3">
      <c r="A548" s="3"/>
      <c r="B548" s="3"/>
      <c r="C548" s="2"/>
      <c r="D548" s="3"/>
      <c r="E548" s="3"/>
      <c r="F548" s="3"/>
      <c r="G548" s="3"/>
      <c r="H548" s="3"/>
      <c r="I548" s="2"/>
      <c r="J548" s="3"/>
    </row>
    <row r="549" spans="1:10" x14ac:dyDescent="0.3">
      <c r="A549" s="3"/>
      <c r="B549" s="3"/>
      <c r="C549" s="2"/>
      <c r="D549" s="3"/>
      <c r="E549" s="3"/>
      <c r="F549" s="3"/>
      <c r="G549" s="3"/>
      <c r="H549" s="3"/>
      <c r="I549" s="2"/>
      <c r="J549" s="3"/>
    </row>
    <row r="550" spans="1:10" x14ac:dyDescent="0.3">
      <c r="A550" s="3"/>
      <c r="B550" s="3"/>
      <c r="C550" s="2"/>
      <c r="D550" s="3"/>
      <c r="E550" s="3"/>
      <c r="F550" s="3"/>
      <c r="G550" s="3"/>
      <c r="H550" s="3"/>
      <c r="I550" s="2"/>
      <c r="J550" s="3"/>
    </row>
    <row r="551" spans="1:10" x14ac:dyDescent="0.3">
      <c r="A551" s="3"/>
      <c r="B551" s="3"/>
      <c r="C551" s="2"/>
      <c r="D551" s="3"/>
      <c r="E551" s="3"/>
      <c r="F551" s="3"/>
      <c r="G551" s="3"/>
      <c r="H551" s="3"/>
      <c r="I551" s="2"/>
      <c r="J551" s="3"/>
    </row>
    <row r="552" spans="1:10" x14ac:dyDescent="0.3">
      <c r="A552" s="3"/>
      <c r="B552" s="3"/>
      <c r="C552" s="2"/>
      <c r="D552" s="3"/>
      <c r="E552" s="3"/>
      <c r="F552" s="3"/>
      <c r="G552" s="3"/>
      <c r="H552" s="3"/>
      <c r="I552" s="2"/>
      <c r="J552" s="3"/>
    </row>
    <row r="553" spans="1:10" x14ac:dyDescent="0.3">
      <c r="A553" s="3"/>
      <c r="B553" s="3"/>
      <c r="C553" s="2"/>
      <c r="D553" s="3"/>
      <c r="E553" s="3"/>
      <c r="F553" s="3"/>
      <c r="G553" s="3"/>
      <c r="H553" s="3"/>
      <c r="I553" s="2"/>
      <c r="J553" s="3"/>
    </row>
    <row r="554" spans="1:10" x14ac:dyDescent="0.3">
      <c r="A554" s="3"/>
      <c r="B554" s="3"/>
      <c r="C554" s="2"/>
      <c r="D554" s="3"/>
      <c r="E554" s="3"/>
      <c r="F554" s="3"/>
      <c r="G554" s="3"/>
      <c r="H554" s="3"/>
      <c r="I554" s="2"/>
      <c r="J554" s="3"/>
    </row>
    <row r="555" spans="1:10" x14ac:dyDescent="0.3">
      <c r="A555" s="3"/>
      <c r="B555" s="3"/>
      <c r="C555" s="2"/>
      <c r="D555" s="3"/>
      <c r="E555" s="3"/>
      <c r="F555" s="3"/>
      <c r="G555" s="3"/>
      <c r="H555" s="3"/>
      <c r="I555" s="2"/>
      <c r="J555" s="3"/>
    </row>
    <row r="556" spans="1:10" x14ac:dyDescent="0.3">
      <c r="A556" s="3"/>
      <c r="B556" s="3"/>
      <c r="C556" s="2"/>
      <c r="D556" s="3"/>
      <c r="E556" s="3"/>
      <c r="F556" s="3"/>
      <c r="G556" s="3"/>
      <c r="H556" s="3"/>
      <c r="I556" s="2"/>
      <c r="J556" s="3"/>
    </row>
    <row r="557" spans="1:10" x14ac:dyDescent="0.3">
      <c r="A557" s="3"/>
      <c r="B557" s="3"/>
      <c r="C557" s="2"/>
      <c r="D557" s="3"/>
      <c r="E557" s="3"/>
      <c r="F557" s="3"/>
      <c r="G557" s="3"/>
      <c r="H557" s="3"/>
      <c r="I557" s="2"/>
      <c r="J557" s="3"/>
    </row>
    <row r="558" spans="1:10" x14ac:dyDescent="0.3">
      <c r="A558" s="3"/>
      <c r="B558" s="3"/>
      <c r="C558" s="2"/>
      <c r="D558" s="3"/>
      <c r="E558" s="3"/>
      <c r="F558" s="3"/>
      <c r="G558" s="3"/>
      <c r="H558" s="3"/>
      <c r="I558" s="2"/>
      <c r="J558" s="3"/>
    </row>
    <row r="559" spans="1:10" x14ac:dyDescent="0.3">
      <c r="A559" s="3"/>
      <c r="B559" s="3"/>
      <c r="C559" s="2"/>
      <c r="D559" s="3"/>
      <c r="E559" s="3"/>
      <c r="F559" s="3"/>
      <c r="G559" s="3"/>
      <c r="H559" s="3"/>
      <c r="I559" s="2"/>
      <c r="J559" s="3"/>
    </row>
    <row r="560" spans="1:10" x14ac:dyDescent="0.3">
      <c r="A560" s="3"/>
      <c r="B560" s="3"/>
      <c r="C560" s="2"/>
      <c r="D560" s="3"/>
      <c r="E560" s="3"/>
      <c r="F560" s="3"/>
      <c r="G560" s="3"/>
      <c r="H560" s="3"/>
      <c r="I560" s="2"/>
      <c r="J560" s="3"/>
    </row>
    <row r="561" spans="1:10" x14ac:dyDescent="0.3">
      <c r="A561" s="3"/>
      <c r="B561" s="3"/>
      <c r="C561" s="2"/>
      <c r="D561" s="3"/>
      <c r="E561" s="3"/>
      <c r="F561" s="3"/>
      <c r="G561" s="3"/>
      <c r="H561" s="3"/>
      <c r="I561" s="2"/>
      <c r="J561" s="3"/>
    </row>
    <row r="562" spans="1:10" x14ac:dyDescent="0.3">
      <c r="A562" s="3"/>
      <c r="B562" s="3"/>
      <c r="C562" s="2"/>
      <c r="D562" s="3"/>
      <c r="E562" s="3"/>
      <c r="F562" s="3"/>
      <c r="G562" s="3"/>
      <c r="H562" s="3"/>
      <c r="I562" s="2"/>
      <c r="J562" s="3"/>
    </row>
    <row r="563" spans="1:10" x14ac:dyDescent="0.3">
      <c r="A563" s="3"/>
      <c r="B563" s="3"/>
      <c r="C563" s="2"/>
      <c r="D563" s="3"/>
      <c r="E563" s="3"/>
      <c r="F563" s="3"/>
      <c r="G563" s="3"/>
      <c r="H563" s="3"/>
      <c r="I563" s="2"/>
      <c r="J563" s="3"/>
    </row>
    <row r="564" spans="1:10" x14ac:dyDescent="0.3">
      <c r="A564" s="3"/>
      <c r="B564" s="3"/>
      <c r="C564" s="2"/>
      <c r="D564" s="3"/>
      <c r="E564" s="3"/>
      <c r="F564" s="3"/>
      <c r="G564" s="3"/>
      <c r="H564" s="3"/>
      <c r="I564" s="2"/>
      <c r="J564" s="3"/>
    </row>
    <row r="565" spans="1:10" x14ac:dyDescent="0.3">
      <c r="A565" s="3"/>
      <c r="B565" s="3"/>
      <c r="C565" s="2"/>
      <c r="D565" s="3"/>
      <c r="E565" s="3"/>
      <c r="F565" s="3"/>
      <c r="G565" s="3"/>
      <c r="H565" s="3"/>
      <c r="I565" s="2"/>
      <c r="J565" s="3"/>
    </row>
    <row r="566" spans="1:10" x14ac:dyDescent="0.3">
      <c r="A566" s="3"/>
      <c r="B566" s="3"/>
      <c r="C566" s="2"/>
      <c r="D566" s="3"/>
      <c r="E566" s="3"/>
      <c r="F566" s="3"/>
      <c r="G566" s="3"/>
      <c r="H566" s="3"/>
      <c r="I566" s="2"/>
      <c r="J566" s="3"/>
    </row>
    <row r="567" spans="1:10" x14ac:dyDescent="0.3">
      <c r="A567" s="3"/>
      <c r="B567" s="3"/>
      <c r="C567" s="2"/>
      <c r="D567" s="3"/>
      <c r="E567" s="3"/>
      <c r="F567" s="3"/>
      <c r="G567" s="3"/>
      <c r="H567" s="3"/>
      <c r="I567" s="2"/>
      <c r="J567" s="3"/>
    </row>
    <row r="568" spans="1:10" x14ac:dyDescent="0.3">
      <c r="A568" s="3"/>
      <c r="B568" s="3"/>
      <c r="C568" s="2"/>
      <c r="D568" s="3"/>
      <c r="E568" s="3"/>
      <c r="F568" s="3"/>
      <c r="G568" s="3"/>
      <c r="H568" s="3"/>
      <c r="I568" s="2"/>
      <c r="J568" s="3"/>
    </row>
    <row r="569" spans="1:10" x14ac:dyDescent="0.3">
      <c r="A569" s="3"/>
      <c r="B569" s="3"/>
      <c r="C569" s="2"/>
      <c r="D569" s="3"/>
      <c r="E569" s="3"/>
      <c r="F569" s="3"/>
      <c r="G569" s="3"/>
      <c r="H569" s="3"/>
      <c r="I569" s="2"/>
      <c r="J569" s="3"/>
    </row>
    <row r="570" spans="1:10" x14ac:dyDescent="0.3">
      <c r="A570" s="3"/>
      <c r="B570" s="3"/>
      <c r="C570" s="2"/>
      <c r="D570" s="3"/>
      <c r="E570" s="3"/>
      <c r="F570" s="3"/>
      <c r="G570" s="3"/>
      <c r="H570" s="3"/>
      <c r="I570" s="2"/>
      <c r="J570" s="3"/>
    </row>
    <row r="571" spans="1:10" x14ac:dyDescent="0.3">
      <c r="A571" s="3"/>
      <c r="B571" s="3"/>
      <c r="C571" s="2"/>
      <c r="D571" s="3"/>
      <c r="E571" s="3"/>
      <c r="F571" s="3"/>
      <c r="G571" s="3"/>
      <c r="H571" s="3"/>
      <c r="I571" s="2"/>
      <c r="J571" s="3"/>
    </row>
    <row r="572" spans="1:10" x14ac:dyDescent="0.3">
      <c r="A572" s="3"/>
      <c r="B572" s="3"/>
      <c r="C572" s="2"/>
      <c r="D572" s="3"/>
      <c r="E572" s="3"/>
      <c r="F572" s="3"/>
      <c r="G572" s="3"/>
      <c r="H572" s="3"/>
      <c r="I572" s="2"/>
      <c r="J572" s="3"/>
    </row>
    <row r="573" spans="1:10" x14ac:dyDescent="0.3">
      <c r="A573" s="3"/>
      <c r="B573" s="3"/>
      <c r="C573" s="2"/>
      <c r="D573" s="3"/>
      <c r="E573" s="3"/>
      <c r="F573" s="3"/>
      <c r="G573" s="3"/>
      <c r="H573" s="3"/>
      <c r="I573" s="2"/>
      <c r="J573" s="3"/>
    </row>
    <row r="574" spans="1:10" x14ac:dyDescent="0.3">
      <c r="A574" s="3"/>
      <c r="B574" s="3"/>
      <c r="C574" s="2"/>
      <c r="D574" s="3"/>
      <c r="E574" s="3"/>
      <c r="F574" s="3"/>
      <c r="G574" s="3"/>
      <c r="H574" s="3"/>
      <c r="I574" s="2"/>
      <c r="J574" s="3"/>
    </row>
    <row r="575" spans="1:10" x14ac:dyDescent="0.3">
      <c r="A575" s="3"/>
      <c r="B575" s="3"/>
      <c r="C575" s="2"/>
      <c r="D575" s="3"/>
      <c r="E575" s="3"/>
      <c r="F575" s="3"/>
      <c r="G575" s="3"/>
      <c r="H575" s="3"/>
      <c r="I575" s="2"/>
      <c r="J575" s="3"/>
    </row>
    <row r="576" spans="1:10" x14ac:dyDescent="0.3">
      <c r="A576" s="3"/>
      <c r="B576" s="3"/>
      <c r="C576" s="2"/>
      <c r="D576" s="3"/>
      <c r="E576" s="3"/>
      <c r="F576" s="3"/>
      <c r="G576" s="3"/>
      <c r="H576" s="3"/>
      <c r="I576" s="2"/>
      <c r="J576" s="3"/>
    </row>
    <row r="577" spans="1:10" x14ac:dyDescent="0.3">
      <c r="A577" s="3"/>
      <c r="B577" s="3"/>
      <c r="C577" s="2"/>
      <c r="D577" s="3"/>
      <c r="E577" s="3"/>
      <c r="F577" s="3"/>
      <c r="G577" s="3"/>
      <c r="H577" s="3"/>
      <c r="I577" s="2"/>
      <c r="J577" s="3"/>
    </row>
    <row r="578" spans="1:10" x14ac:dyDescent="0.3">
      <c r="A578" s="3"/>
      <c r="B578" s="3"/>
      <c r="C578" s="2"/>
      <c r="D578" s="3"/>
      <c r="E578" s="3"/>
      <c r="F578" s="3"/>
      <c r="G578" s="3"/>
      <c r="H578" s="3"/>
      <c r="I578" s="2"/>
      <c r="J578" s="3"/>
    </row>
    <row r="579" spans="1:10" x14ac:dyDescent="0.3">
      <c r="A579" s="3"/>
      <c r="B579" s="3"/>
      <c r="C579" s="2"/>
      <c r="D579" s="3"/>
      <c r="E579" s="3"/>
      <c r="F579" s="3"/>
      <c r="G579" s="3"/>
      <c r="H579" s="3"/>
      <c r="I579" s="2"/>
      <c r="J579" s="3"/>
    </row>
    <row r="580" spans="1:10" x14ac:dyDescent="0.3">
      <c r="A580" s="3"/>
      <c r="B580" s="3"/>
      <c r="C580" s="2"/>
      <c r="D580" s="3"/>
      <c r="E580" s="3"/>
      <c r="F580" s="3"/>
      <c r="G580" s="3"/>
      <c r="H580" s="3"/>
      <c r="I580" s="2"/>
      <c r="J580" s="3"/>
    </row>
    <row r="581" spans="1:10" x14ac:dyDescent="0.3">
      <c r="A581" s="3"/>
      <c r="B581" s="3"/>
      <c r="C581" s="2"/>
      <c r="D581" s="3"/>
      <c r="E581" s="3"/>
      <c r="F581" s="3"/>
      <c r="G581" s="3"/>
      <c r="H581" s="3"/>
      <c r="I581" s="2"/>
      <c r="J581" s="3"/>
    </row>
    <row r="582" spans="1:10" x14ac:dyDescent="0.3">
      <c r="A582" s="3"/>
      <c r="B582" s="3"/>
      <c r="C582" s="2"/>
      <c r="D582" s="3"/>
      <c r="E582" s="3"/>
      <c r="F582" s="3"/>
      <c r="G582" s="3"/>
      <c r="H582" s="3"/>
      <c r="I582" s="2"/>
      <c r="J582" s="3"/>
    </row>
    <row r="583" spans="1:10" x14ac:dyDescent="0.3">
      <c r="A583" s="3"/>
      <c r="B583" s="3"/>
      <c r="C583" s="2"/>
      <c r="D583" s="3"/>
      <c r="E583" s="3"/>
      <c r="F583" s="3"/>
      <c r="G583" s="3"/>
      <c r="H583" s="3"/>
      <c r="I583" s="2"/>
      <c r="J583" s="3"/>
    </row>
    <row r="584" spans="1:10" x14ac:dyDescent="0.3">
      <c r="A584" s="3"/>
      <c r="B584" s="3"/>
      <c r="C584" s="2"/>
      <c r="D584" s="3"/>
      <c r="E584" s="3"/>
      <c r="F584" s="3"/>
      <c r="G584" s="3"/>
      <c r="H584" s="3"/>
      <c r="I584" s="2"/>
      <c r="J584" s="3"/>
    </row>
    <row r="585" spans="1:10" x14ac:dyDescent="0.3">
      <c r="A585" s="3"/>
      <c r="B585" s="3"/>
      <c r="C585" s="2"/>
      <c r="D585" s="3"/>
      <c r="E585" s="3"/>
      <c r="F585" s="3"/>
      <c r="G585" s="3"/>
      <c r="H585" s="3"/>
      <c r="I585" s="2"/>
      <c r="J585" s="3"/>
    </row>
    <row r="586" spans="1:10" x14ac:dyDescent="0.3">
      <c r="A586" s="3"/>
      <c r="B586" s="3"/>
      <c r="C586" s="2"/>
      <c r="D586" s="3"/>
      <c r="E586" s="3"/>
      <c r="F586" s="3"/>
      <c r="G586" s="3"/>
      <c r="H586" s="3"/>
      <c r="I586" s="2"/>
      <c r="J586" s="3"/>
    </row>
    <row r="587" spans="1:10" x14ac:dyDescent="0.3">
      <c r="A587" s="3"/>
      <c r="B587" s="3"/>
      <c r="C587" s="2"/>
      <c r="D587" s="3"/>
      <c r="E587" s="3"/>
      <c r="F587" s="3"/>
      <c r="G587" s="3"/>
      <c r="H587" s="3"/>
      <c r="I587" s="2"/>
      <c r="J587" s="3"/>
    </row>
    <row r="588" spans="1:10" x14ac:dyDescent="0.3">
      <c r="A588" s="3"/>
      <c r="B588" s="3"/>
      <c r="C588" s="2"/>
      <c r="D588" s="3"/>
      <c r="E588" s="3"/>
      <c r="F588" s="3"/>
      <c r="G588" s="3"/>
      <c r="H588" s="3"/>
      <c r="I588" s="2"/>
      <c r="J588" s="3"/>
    </row>
    <row r="589" spans="1:10" x14ac:dyDescent="0.3">
      <c r="A589" s="3"/>
      <c r="B589" s="3"/>
      <c r="C589" s="2"/>
      <c r="D589" s="3"/>
      <c r="E589" s="3"/>
      <c r="F589" s="3"/>
      <c r="G589" s="3"/>
      <c r="H589" s="3"/>
      <c r="I589" s="2"/>
      <c r="J589" s="3"/>
    </row>
    <row r="590" spans="1:10" x14ac:dyDescent="0.3">
      <c r="A590" s="3"/>
      <c r="B590" s="3"/>
      <c r="C590" s="2"/>
      <c r="D590" s="3"/>
      <c r="E590" s="3"/>
      <c r="F590" s="3"/>
      <c r="G590" s="3"/>
      <c r="H590" s="3"/>
      <c r="I590" s="2"/>
      <c r="J590" s="3"/>
    </row>
    <row r="591" spans="1:10" x14ac:dyDescent="0.3">
      <c r="A591" s="3"/>
      <c r="B591" s="3"/>
      <c r="C591" s="2"/>
      <c r="D591" s="3"/>
      <c r="E591" s="3"/>
      <c r="F591" s="3"/>
      <c r="G591" s="3"/>
      <c r="H591" s="3"/>
      <c r="I591" s="2"/>
      <c r="J591" s="3"/>
    </row>
    <row r="592" spans="1:10" x14ac:dyDescent="0.3">
      <c r="A592" s="3"/>
      <c r="B592" s="3"/>
      <c r="C592" s="2"/>
      <c r="D592" s="3"/>
      <c r="E592" s="3"/>
      <c r="F592" s="3"/>
      <c r="G592" s="3"/>
      <c r="H592" s="3"/>
      <c r="I592" s="2"/>
      <c r="J592" s="3"/>
    </row>
    <row r="593" spans="1:10" x14ac:dyDescent="0.3">
      <c r="A593" s="3"/>
      <c r="B593" s="3"/>
      <c r="C593" s="2"/>
      <c r="D593" s="3"/>
      <c r="E593" s="3"/>
      <c r="F593" s="3"/>
      <c r="G593" s="3"/>
      <c r="H593" s="3"/>
      <c r="I593" s="2"/>
      <c r="J593" s="3"/>
    </row>
    <row r="594" spans="1:10" x14ac:dyDescent="0.3">
      <c r="A594" s="3"/>
      <c r="B594" s="3"/>
      <c r="C594" s="2"/>
      <c r="D594" s="3"/>
      <c r="E594" s="3"/>
      <c r="F594" s="3"/>
      <c r="G594" s="3"/>
      <c r="H594" s="3"/>
      <c r="I594" s="2"/>
      <c r="J594" s="3"/>
    </row>
    <row r="595" spans="1:10" x14ac:dyDescent="0.3">
      <c r="A595" s="3"/>
      <c r="B595" s="3"/>
      <c r="C595" s="2"/>
      <c r="D595" s="3"/>
      <c r="E595" s="3"/>
      <c r="F595" s="3"/>
      <c r="G595" s="3"/>
      <c r="H595" s="3"/>
      <c r="I595" s="2"/>
      <c r="J595" s="3"/>
    </row>
    <row r="596" spans="1:10" x14ac:dyDescent="0.3">
      <c r="A596" s="3"/>
      <c r="B596" s="3"/>
      <c r="C596" s="2"/>
      <c r="D596" s="3"/>
      <c r="E596" s="3"/>
      <c r="F596" s="3"/>
      <c r="G596" s="3"/>
      <c r="H596" s="3"/>
      <c r="I596" s="2"/>
      <c r="J596" s="3"/>
    </row>
    <row r="597" spans="1:10" x14ac:dyDescent="0.3">
      <c r="A597" s="3"/>
      <c r="B597" s="3"/>
      <c r="C597" s="2"/>
      <c r="D597" s="3"/>
      <c r="E597" s="3"/>
      <c r="F597" s="3"/>
      <c r="G597" s="3"/>
      <c r="H597" s="3"/>
      <c r="I597" s="2"/>
      <c r="J597" s="3"/>
    </row>
    <row r="598" spans="1:10" x14ac:dyDescent="0.3">
      <c r="A598" s="3"/>
      <c r="B598" s="3"/>
      <c r="C598" s="2"/>
      <c r="D598" s="3"/>
      <c r="E598" s="3"/>
      <c r="F598" s="3"/>
      <c r="G598" s="3"/>
      <c r="H598" s="3"/>
      <c r="I598" s="2"/>
      <c r="J598" s="3"/>
    </row>
    <row r="599" spans="1:10" x14ac:dyDescent="0.3">
      <c r="A599" s="3"/>
      <c r="B599" s="3"/>
      <c r="C599" s="2"/>
      <c r="D599" s="3"/>
      <c r="E599" s="3"/>
      <c r="F599" s="3"/>
      <c r="G599" s="3"/>
      <c r="H599" s="3"/>
      <c r="I599" s="2"/>
      <c r="J599" s="3"/>
    </row>
    <row r="600" spans="1:10" x14ac:dyDescent="0.3">
      <c r="A600" s="3"/>
      <c r="B600" s="3"/>
      <c r="C600" s="2"/>
      <c r="D600" s="3"/>
      <c r="E600" s="3"/>
      <c r="F600" s="3"/>
      <c r="G600" s="3"/>
      <c r="H600" s="3"/>
      <c r="I600" s="2"/>
      <c r="J600" s="3"/>
    </row>
    <row r="601" spans="1:10" x14ac:dyDescent="0.3">
      <c r="A601" s="3"/>
      <c r="B601" s="3"/>
      <c r="C601" s="2"/>
      <c r="D601" s="3"/>
      <c r="E601" s="3"/>
      <c r="F601" s="3"/>
      <c r="G601" s="3"/>
      <c r="H601" s="3"/>
      <c r="I601" s="2"/>
      <c r="J601" s="3"/>
    </row>
    <row r="602" spans="1:10" x14ac:dyDescent="0.3">
      <c r="A602" s="3"/>
      <c r="B602" s="3"/>
      <c r="C602" s="2"/>
      <c r="D602" s="3"/>
      <c r="E602" s="3"/>
      <c r="F602" s="3"/>
      <c r="G602" s="3"/>
      <c r="H602" s="3"/>
      <c r="I602" s="2"/>
      <c r="J602" s="3"/>
    </row>
    <row r="603" spans="1:10" x14ac:dyDescent="0.3">
      <c r="A603" s="3"/>
      <c r="B603" s="3"/>
      <c r="C603" s="2"/>
      <c r="D603" s="3"/>
      <c r="E603" s="3"/>
      <c r="F603" s="3"/>
      <c r="G603" s="3"/>
      <c r="H603" s="3"/>
      <c r="I603" s="2"/>
      <c r="J603" s="3"/>
    </row>
    <row r="604" spans="1:10" x14ac:dyDescent="0.3">
      <c r="A604" s="3"/>
      <c r="B604" s="3"/>
      <c r="C604" s="2"/>
      <c r="D604" s="3"/>
      <c r="E604" s="3"/>
      <c r="F604" s="3"/>
      <c r="G604" s="3"/>
      <c r="H604" s="3"/>
      <c r="I604" s="2"/>
      <c r="J604" s="3"/>
    </row>
    <row r="605" spans="1:10" x14ac:dyDescent="0.3">
      <c r="A605" s="3"/>
      <c r="B605" s="3"/>
      <c r="C605" s="2"/>
      <c r="D605" s="3"/>
      <c r="E605" s="3"/>
      <c r="F605" s="3"/>
      <c r="G605" s="3"/>
      <c r="H605" s="3"/>
      <c r="I605" s="2"/>
      <c r="J605" s="3"/>
    </row>
    <row r="606" spans="1:10" x14ac:dyDescent="0.3">
      <c r="A606" s="3"/>
      <c r="B606" s="3"/>
      <c r="C606" s="2"/>
      <c r="D606" s="3"/>
      <c r="E606" s="3"/>
      <c r="F606" s="3"/>
      <c r="G606" s="3"/>
      <c r="H606" s="3"/>
      <c r="I606" s="2"/>
      <c r="J606" s="3"/>
    </row>
    <row r="607" spans="1:10" x14ac:dyDescent="0.3">
      <c r="A607" s="3"/>
      <c r="B607" s="3"/>
      <c r="C607" s="2"/>
      <c r="D607" s="3"/>
      <c r="E607" s="3"/>
      <c r="F607" s="3"/>
      <c r="G607" s="3"/>
      <c r="H607" s="3"/>
      <c r="I607" s="2"/>
      <c r="J607" s="3"/>
    </row>
    <row r="608" spans="1:10" x14ac:dyDescent="0.3">
      <c r="A608" s="3"/>
      <c r="B608" s="3"/>
      <c r="C608" s="2"/>
      <c r="D608" s="3"/>
      <c r="E608" s="3"/>
      <c r="F608" s="3"/>
      <c r="G608" s="3"/>
      <c r="H608" s="3"/>
      <c r="I608" s="2"/>
      <c r="J608" s="3"/>
    </row>
    <row r="609" spans="1:10" x14ac:dyDescent="0.3">
      <c r="A609" s="3"/>
      <c r="B609" s="3"/>
      <c r="C609" s="2"/>
      <c r="D609" s="3"/>
      <c r="E609" s="3"/>
      <c r="F609" s="3"/>
      <c r="G609" s="3"/>
      <c r="H609" s="3"/>
      <c r="I609" s="2"/>
      <c r="J609" s="3"/>
    </row>
    <row r="610" spans="1:10" x14ac:dyDescent="0.3">
      <c r="A610" s="3"/>
      <c r="B610" s="3"/>
      <c r="C610" s="2"/>
      <c r="D610" s="3"/>
      <c r="E610" s="3"/>
      <c r="F610" s="3"/>
      <c r="G610" s="3"/>
      <c r="H610" s="3"/>
      <c r="I610" s="2"/>
      <c r="J610" s="3"/>
    </row>
    <row r="611" spans="1:10" x14ac:dyDescent="0.3">
      <c r="A611" s="3"/>
      <c r="B611" s="3"/>
      <c r="C611" s="2"/>
      <c r="D611" s="3"/>
      <c r="E611" s="3"/>
      <c r="F611" s="3"/>
      <c r="G611" s="3"/>
      <c r="H611" s="3"/>
      <c r="I611" s="2"/>
      <c r="J611" s="3"/>
    </row>
    <row r="612" spans="1:10" x14ac:dyDescent="0.3">
      <c r="A612" s="3"/>
      <c r="B612" s="3"/>
      <c r="C612" s="2"/>
      <c r="D612" s="3"/>
      <c r="E612" s="3"/>
      <c r="F612" s="3"/>
      <c r="G612" s="3"/>
      <c r="H612" s="3"/>
      <c r="I612" s="2"/>
      <c r="J612" s="3"/>
    </row>
    <row r="613" spans="1:10" x14ac:dyDescent="0.3">
      <c r="A613" s="3"/>
      <c r="B613" s="3"/>
      <c r="C613" s="2"/>
      <c r="D613" s="3"/>
      <c r="E613" s="3"/>
      <c r="F613" s="3"/>
      <c r="G613" s="3"/>
      <c r="H613" s="3"/>
      <c r="I613" s="2"/>
      <c r="J613" s="3"/>
    </row>
    <row r="614" spans="1:10" x14ac:dyDescent="0.3">
      <c r="A614" s="3"/>
      <c r="B614" s="3"/>
      <c r="C614" s="2"/>
      <c r="D614" s="3"/>
      <c r="E614" s="3"/>
      <c r="F614" s="3"/>
      <c r="G614" s="3"/>
      <c r="H614" s="3"/>
      <c r="I614" s="2"/>
      <c r="J614" s="3"/>
    </row>
    <row r="615" spans="1:10" x14ac:dyDescent="0.3">
      <c r="A615" s="3"/>
      <c r="B615" s="3"/>
      <c r="C615" s="2"/>
      <c r="D615" s="3"/>
      <c r="E615" s="3"/>
      <c r="F615" s="3"/>
      <c r="G615" s="3"/>
      <c r="H615" s="3"/>
      <c r="I615" s="2"/>
      <c r="J615" s="3"/>
    </row>
    <row r="616" spans="1:10" x14ac:dyDescent="0.3">
      <c r="A616" s="3"/>
      <c r="B616" s="3"/>
      <c r="C616" s="2"/>
      <c r="D616" s="3"/>
      <c r="E616" s="3"/>
      <c r="F616" s="3"/>
      <c r="G616" s="3"/>
      <c r="H616" s="3"/>
      <c r="I616" s="2"/>
      <c r="J616" s="3"/>
    </row>
    <row r="617" spans="1:10" x14ac:dyDescent="0.3">
      <c r="A617" s="3"/>
      <c r="B617" s="3"/>
      <c r="C617" s="2"/>
      <c r="D617" s="3"/>
      <c r="E617" s="3"/>
      <c r="F617" s="3"/>
      <c r="G617" s="3"/>
      <c r="H617" s="3"/>
      <c r="I617" s="2"/>
      <c r="J617" s="3"/>
    </row>
  </sheetData>
  <mergeCells count="32">
    <mergeCell ref="E226:L226"/>
    <mergeCell ref="E358:L358"/>
    <mergeCell ref="E338:L338"/>
    <mergeCell ref="E321:L321"/>
    <mergeCell ref="L11:L12"/>
    <mergeCell ref="A3:L3"/>
    <mergeCell ref="F4:L4"/>
    <mergeCell ref="A5:L5"/>
    <mergeCell ref="A6:L6"/>
    <mergeCell ref="G7:L7"/>
    <mergeCell ref="I8:L8"/>
    <mergeCell ref="A9:L9"/>
    <mergeCell ref="A10:L10"/>
    <mergeCell ref="K11:K12"/>
    <mergeCell ref="A4:E4"/>
    <mergeCell ref="A7:C7"/>
    <mergeCell ref="D7:F7"/>
    <mergeCell ref="A8:C8"/>
    <mergeCell ref="D8:F8"/>
    <mergeCell ref="A11:A12"/>
    <mergeCell ref="B11:B12"/>
    <mergeCell ref="D11:D12"/>
    <mergeCell ref="C11:C12"/>
    <mergeCell ref="E11:G11"/>
    <mergeCell ref="G8:H8"/>
    <mergeCell ref="H11:J11"/>
    <mergeCell ref="B358:D358"/>
    <mergeCell ref="B369:D369"/>
    <mergeCell ref="B321:D321"/>
    <mergeCell ref="B338:D338"/>
    <mergeCell ref="E277:L277"/>
    <mergeCell ref="E369:L369"/>
  </mergeCells>
  <phoneticPr fontId="12" type="noConversion"/>
  <printOptions horizontalCentered="1"/>
  <pageMargins left="0.39370078740157483" right="0.39370078740157483" top="0.39370078740157483" bottom="0.39370078740157483" header="0" footer="0"/>
  <pageSetup paperSize="8" scale="74" orientation="landscape" r:id="rId1"/>
  <ignoredErrors>
    <ignoredError sqref="D34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6A5F217236FD41952DC06BFF9D54D7" ma:contentTypeVersion="21" ma:contentTypeDescription="Crie um novo documento." ma:contentTypeScope="" ma:versionID="36ab9e24671e10dcf41e3dfd0ee7e945">
  <xsd:schema xmlns:xsd="http://www.w3.org/2001/XMLSchema" xmlns:xs="http://www.w3.org/2001/XMLSchema" xmlns:p="http://schemas.microsoft.com/office/2006/metadata/properties" xmlns:ns2="7d8be6fd-d823-473b-a780-84184c451060" xmlns:ns3="304d77fb-a4e2-44b3-8573-a0d215f26cda" targetNamespace="http://schemas.microsoft.com/office/2006/metadata/properties" ma:root="true" ma:fieldsID="a7d3efa47c50f3a9daa3baa638bbd0c2" ns2:_="" ns3:_="">
    <xsd:import namespace="7d8be6fd-d823-473b-a780-84184c451060"/>
    <xsd:import namespace="304d77fb-a4e2-44b3-8573-a0d215f26c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espons_x00e1_vel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be6fd-d823-473b-a780-84184c451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8809f0-f3f0-4671-b020-d41f17bb42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pons_x00e1_vel" ma:index="26" nillable="true" ma:displayName="Responsável" ma:format="Dropdown" ma:list="UserInfo" ma:SharePointGroup="0" ma:internalName="Respons_x00e1_ve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nk" ma:index="27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d77fb-a4e2-44b3-8573-a0d215f26c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436c4a-ef69-4241-b5c4-5a70c7905de2}" ma:internalName="TaxCatchAll" ma:showField="CatchAllData" ma:web="304d77fb-a4e2-44b3-8573-a0d215f26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4d77fb-a4e2-44b3-8573-a0d215f26cda" xsi:nil="true"/>
    <lcf76f155ced4ddcb4097134ff3c332f xmlns="7d8be6fd-d823-473b-a780-84184c451060">
      <Terms xmlns="http://schemas.microsoft.com/office/infopath/2007/PartnerControls"/>
    </lcf76f155ced4ddcb4097134ff3c332f>
    <Respons_x00e1_vel xmlns="7d8be6fd-d823-473b-a780-84184c451060">
      <UserInfo>
        <DisplayName/>
        <AccountId xsi:nil="true"/>
        <AccountType/>
      </UserInfo>
    </Respons_x00e1_vel>
    <Link xmlns="7d8be6fd-d823-473b-a780-84184c451060">
      <Url xsi:nil="true"/>
      <Description xsi:nil="true"/>
    </Lin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3DA570-6193-4ECD-B120-4C5372CD9491}"/>
</file>

<file path=customXml/itemProps2.xml><?xml version="1.0" encoding="utf-8"?>
<ds:datastoreItem xmlns:ds="http://schemas.openxmlformats.org/officeDocument/2006/customXml" ds:itemID="{92709F0C-B1B7-424F-83B1-7D3BD91ED9C2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304d77fb-a4e2-44b3-8573-a0d215f26cda"/>
    <ds:schemaRef ds:uri="http://schemas.microsoft.com/office/2006/metadata/properties"/>
    <ds:schemaRef ds:uri="7d8be6fd-d823-473b-a780-84184c45106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DEF9AB0-7E0E-4A3C-A2DB-9289BFBC38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ORC</vt:lpstr>
      <vt:lpstr>ORC!Area_de_impressao</vt:lpstr>
      <vt:lpstr>ORC!Titulos_de_impressao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HELIO PAIVA JR</dc:creator>
  <cp:lastModifiedBy>Gabriele Piras</cp:lastModifiedBy>
  <cp:lastPrinted>2023-09-29T17:45:20Z</cp:lastPrinted>
  <dcterms:created xsi:type="dcterms:W3CDTF">2019-08-21T01:54:30Z</dcterms:created>
  <dcterms:modified xsi:type="dcterms:W3CDTF">2024-03-14T13:12:42Z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0x010100586A5F217236FD41952DC06BFF9D54D7</vt:lpwstr>
  </property>
  <property fmtid="{D5CDD505-2E9C-101B-9397-08002B2CF9AE}" pid="3" name="MediaServiceImageTags">
    <vt:lpwstr/>
  </property>
</Properties>
</file>