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parceriassa.sharepoint.com/sites/sppdiri/Documentos Compartilhados/04. Projetos Ger B/03. Esplanada Liberdade/05. Fase 1 - PMI/09. Estudos Recebidos/Publicação dos estudos/03. Ekya/"/>
    </mc:Choice>
  </mc:AlternateContent>
  <xr:revisionPtr revIDLastSave="1" documentId="13_ncr:1_{4608B0CF-8586-4520-957B-0FD078FB6AC1}" xr6:coauthVersionLast="47" xr6:coauthVersionMax="47" xr10:uidLastSave="{DB08065A-0C78-46A7-98F2-2CABB6EB2E80}"/>
  <bookViews>
    <workbookView xWindow="-120" yWindow="-16320" windowWidth="29040" windowHeight="15720" xr2:uid="{00000000-000D-0000-FFFF-FFFF00000000}"/>
  </bookViews>
  <sheets>
    <sheet name="ORC" sheetId="1" r:id="rId1"/>
  </sheets>
  <definedNames>
    <definedName name="_xlnm.Print_Area" localSheetId="0">ORC!$A$1:$L$241</definedName>
    <definedName name="_xlnm.Print_Titles" localSheetId="0">ORC!$12:$13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8" i="1" l="1"/>
  <c r="D157" i="1"/>
  <c r="D156" i="1"/>
  <c r="D155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J229" i="1" l="1"/>
  <c r="J230" i="1"/>
  <c r="J172" i="1" l="1"/>
  <c r="J171" i="1"/>
  <c r="J170" i="1"/>
  <c r="J169" i="1"/>
  <c r="J168" i="1"/>
  <c r="J167" i="1"/>
  <c r="J166" i="1"/>
  <c r="J165" i="1"/>
  <c r="J164" i="1"/>
  <c r="J163" i="1"/>
  <c r="J162" i="1"/>
  <c r="J161" i="1"/>
  <c r="J157" i="1"/>
  <c r="J156" i="1"/>
  <c r="J155" i="1"/>
  <c r="J153" i="1" l="1"/>
  <c r="J159" i="1"/>
  <c r="D175" i="1"/>
  <c r="J177" i="1"/>
  <c r="D20" i="1"/>
  <c r="D21" i="1"/>
  <c r="J21" i="1" s="1"/>
  <c r="J22" i="1"/>
  <c r="J123" i="1"/>
  <c r="J225" i="1"/>
  <c r="J224" i="1"/>
  <c r="J223" i="1"/>
  <c r="J222" i="1" l="1"/>
  <c r="D30" i="1" l="1"/>
  <c r="J30" i="1" s="1"/>
  <c r="J72" i="1" l="1"/>
  <c r="J74" i="1"/>
  <c r="D39" i="1" l="1"/>
  <c r="D41" i="1" s="1"/>
  <c r="D18" i="1" l="1"/>
  <c r="J20" i="1" l="1"/>
  <c r="J24" i="1"/>
  <c r="J23" i="1"/>
  <c r="J19" i="1" l="1"/>
  <c r="J17" i="1" l="1"/>
  <c r="J122" i="1" l="1"/>
  <c r="J121" i="1"/>
  <c r="J120" i="1"/>
  <c r="J119" i="1"/>
  <c r="J109" i="1"/>
  <c r="J110" i="1"/>
  <c r="J111" i="1"/>
  <c r="J112" i="1"/>
  <c r="J108" i="1"/>
  <c r="J46" i="1"/>
  <c r="J106" i="1" l="1"/>
  <c r="J48" i="1"/>
  <c r="J47" i="1"/>
  <c r="J176" i="1"/>
  <c r="J179" i="1"/>
  <c r="J178" i="1"/>
  <c r="J191" i="1"/>
  <c r="J190" i="1"/>
  <c r="J189" i="1"/>
  <c r="J188" i="1"/>
  <c r="J215" i="1"/>
  <c r="J214" i="1"/>
  <c r="J212" i="1"/>
  <c r="J210" i="1"/>
  <c r="J209" i="1"/>
  <c r="J208" i="1"/>
  <c r="J207" i="1"/>
  <c r="J206" i="1"/>
  <c r="J205" i="1"/>
  <c r="J204" i="1"/>
  <c r="J175" i="1"/>
  <c r="J173" i="1" l="1"/>
  <c r="J186" i="1"/>
  <c r="J45" i="1"/>
  <c r="J203" i="1"/>
  <c r="J151" i="1"/>
  <c r="J149" i="1"/>
  <c r="J148" i="1"/>
  <c r="J147" i="1"/>
  <c r="J146" i="1"/>
  <c r="J144" i="1"/>
  <c r="J143" i="1"/>
  <c r="J142" i="1"/>
  <c r="J141" i="1"/>
  <c r="J140" i="1"/>
  <c r="J139" i="1"/>
  <c r="J138" i="1"/>
  <c r="J202" i="1"/>
  <c r="J201" i="1"/>
  <c r="J200" i="1"/>
  <c r="J198" i="1"/>
  <c r="J197" i="1"/>
  <c r="J196" i="1"/>
  <c r="D118" i="1"/>
  <c r="J118" i="1" s="1"/>
  <c r="J117" i="1" s="1"/>
  <c r="J105" i="1" s="1"/>
  <c r="D213" i="1"/>
  <c r="J213" i="1" s="1"/>
  <c r="J211" i="1" s="1"/>
  <c r="J137" i="1" l="1"/>
  <c r="D195" i="1"/>
  <c r="J195" i="1" s="1"/>
  <c r="D199" i="1"/>
  <c r="J199" i="1" s="1"/>
  <c r="J193" i="1" l="1"/>
  <c r="J192" i="1" s="1"/>
  <c r="J31" i="1"/>
  <c r="J28" i="1"/>
  <c r="D27" i="1"/>
  <c r="J27" i="1" s="1"/>
  <c r="D26" i="1"/>
  <c r="D55" i="1"/>
  <c r="J55" i="1" s="1"/>
  <c r="J26" i="1" l="1"/>
  <c r="D29" i="1"/>
  <c r="J29" i="1" s="1"/>
  <c r="D53" i="1"/>
  <c r="J25" i="1" l="1"/>
  <c r="D43" i="1"/>
  <c r="D38" i="1" l="1"/>
  <c r="D40" i="1"/>
  <c r="J235" i="1"/>
  <c r="J234" i="1"/>
  <c r="J232" i="1"/>
  <c r="J231" i="1" s="1"/>
  <c r="J185" i="1"/>
  <c r="J184" i="1"/>
  <c r="J183" i="1"/>
  <c r="J182" i="1"/>
  <c r="J181" i="1"/>
  <c r="D104" i="1"/>
  <c r="J104" i="1" s="1"/>
  <c r="D103" i="1"/>
  <c r="J103" i="1" s="1"/>
  <c r="D102" i="1"/>
  <c r="J102" i="1" s="1"/>
  <c r="D100" i="1"/>
  <c r="J100" i="1" s="1"/>
  <c r="D99" i="1"/>
  <c r="J99" i="1" s="1"/>
  <c r="D98" i="1"/>
  <c r="J98" i="1" s="1"/>
  <c r="J95" i="1"/>
  <c r="J94" i="1"/>
  <c r="J88" i="1"/>
  <c r="J87" i="1"/>
  <c r="J86" i="1"/>
  <c r="J85" i="1"/>
  <c r="J84" i="1"/>
  <c r="J69" i="1"/>
  <c r="J83" i="1" l="1"/>
  <c r="J101" i="1"/>
  <c r="J180" i="1"/>
  <c r="J152" i="1" s="1"/>
  <c r="J97" i="1"/>
  <c r="J53" i="1"/>
  <c r="J52" i="1"/>
  <c r="J43" i="1"/>
  <c r="G41" i="1"/>
  <c r="J41" i="1" s="1"/>
  <c r="G40" i="1"/>
  <c r="J40" i="1" s="1"/>
  <c r="J39" i="1"/>
  <c r="G38" i="1"/>
  <c r="J38" i="1" s="1"/>
  <c r="G221" i="1"/>
  <c r="J221" i="1" s="1"/>
  <c r="G220" i="1"/>
  <c r="J220" i="1" s="1"/>
  <c r="J218" i="1"/>
  <c r="J217" i="1" s="1"/>
  <c r="J36" i="1"/>
  <c r="D34" i="1"/>
  <c r="J34" i="1" s="1"/>
  <c r="J35" i="1"/>
  <c r="D44" i="1"/>
  <c r="J44" i="1" s="1"/>
  <c r="D42" i="1"/>
  <c r="J42" i="1" s="1"/>
  <c r="J37" i="1" l="1"/>
  <c r="J96" i="1"/>
  <c r="J219" i="1"/>
  <c r="J216" i="1" s="1"/>
  <c r="J33" i="1"/>
  <c r="D228" i="1"/>
  <c r="J228" i="1" s="1"/>
  <c r="D227" i="1"/>
  <c r="J227" i="1" s="1"/>
  <c r="J226" i="1" s="1"/>
  <c r="D93" i="1"/>
  <c r="J93" i="1" s="1"/>
  <c r="J92" i="1" s="1"/>
  <c r="D91" i="1"/>
  <c r="J91" i="1" s="1"/>
  <c r="D90" i="1"/>
  <c r="J90" i="1" s="1"/>
  <c r="D73" i="1"/>
  <c r="J73" i="1" s="1"/>
  <c r="J71" i="1" s="1"/>
  <c r="D58" i="1"/>
  <c r="J58" i="1" s="1"/>
  <c r="D70" i="1"/>
  <c r="D61" i="1"/>
  <c r="J61" i="1" s="1"/>
  <c r="D62" i="1"/>
  <c r="J62" i="1" s="1"/>
  <c r="D60" i="1"/>
  <c r="J60" i="1" s="1"/>
  <c r="D59" i="1"/>
  <c r="J59" i="1" s="1"/>
  <c r="J32" i="1" l="1"/>
  <c r="J57" i="1"/>
  <c r="J89" i="1"/>
  <c r="J82" i="1" s="1"/>
  <c r="J70" i="1"/>
  <c r="D51" i="1"/>
  <c r="J54" i="1"/>
  <c r="D79" i="1"/>
  <c r="D80" i="1"/>
  <c r="J80" i="1" s="1"/>
  <c r="D81" i="1"/>
  <c r="J81" i="1" s="1"/>
  <c r="J51" i="1" l="1"/>
  <c r="J50" i="1" s="1"/>
  <c r="J49" i="1" s="1"/>
  <c r="D78" i="1"/>
  <c r="J78" i="1" s="1"/>
  <c r="J79" i="1"/>
  <c r="D68" i="1"/>
  <c r="J68" i="1" s="1"/>
  <c r="D67" i="1"/>
  <c r="J67" i="1" s="1"/>
  <c r="D66" i="1"/>
  <c r="D76" i="1"/>
  <c r="J76" i="1" s="1"/>
  <c r="D77" i="1"/>
  <c r="J77" i="1" s="1"/>
  <c r="J75" i="1" l="1"/>
  <c r="J66" i="1"/>
  <c r="J65" i="1" s="1"/>
  <c r="J64" i="1"/>
  <c r="J63" i="1" s="1"/>
  <c r="J56" i="1" s="1"/>
  <c r="J18" i="1" l="1"/>
  <c r="J15" i="1" l="1"/>
  <c r="J14" i="1" s="1"/>
  <c r="J241" i="1" s="1"/>
</calcChain>
</file>

<file path=xl/sharedStrings.xml><?xml version="1.0" encoding="utf-8"?>
<sst xmlns="http://schemas.openxmlformats.org/spreadsheetml/2006/main" count="883" uniqueCount="565">
  <si>
    <t>TOTAL</t>
  </si>
  <si>
    <t>ITEM</t>
  </si>
  <si>
    <t>QUANT.</t>
  </si>
  <si>
    <t>SERVIÇOS PRELIMINARES</t>
  </si>
  <si>
    <t>vb</t>
  </si>
  <si>
    <t>m²</t>
  </si>
  <si>
    <t>un</t>
  </si>
  <si>
    <t>ABRIGO PROVISÓRIO, para escritório, metálico tipo container constituído por um conjunto de dois módulos podendo ser acoplados pela lateral, fundo e frente</t>
  </si>
  <si>
    <t>m³</t>
  </si>
  <si>
    <t>m³</t>
  </si>
  <si>
    <t>m</t>
  </si>
  <si>
    <t>APILOAMENTO manual de valas em camadas de 20 cm de espessura</t>
  </si>
  <si>
    <t>REATERRO de vala com material granular reaproveitado adensado e vibrado</t>
  </si>
  <si>
    <t>m³</t>
  </si>
  <si>
    <t>FORMA em chapa de madeira compensada plastificada 12 mm, para estruturas de concreto reapr. 2x (corte/montagem/escoramento/desforma)</t>
  </si>
  <si>
    <t>m²</t>
  </si>
  <si>
    <t>kg</t>
  </si>
  <si>
    <t>m²</t>
  </si>
  <si>
    <t>m³</t>
  </si>
  <si>
    <t>VEDAÇÃO E DIVISÓRIAS</t>
  </si>
  <si>
    <t>m²</t>
  </si>
  <si>
    <t>CHAPISCO traço 1:4 (cimento e areia grossa), espessura 0,5cm, preparo mecânico da argamassa</t>
  </si>
  <si>
    <t>m²</t>
  </si>
  <si>
    <t>m²</t>
  </si>
  <si>
    <t>un</t>
  </si>
  <si>
    <t>un</t>
  </si>
  <si>
    <t>INSTALAÇÕES ELÉTRICAS</t>
  </si>
  <si>
    <t>SPDA</t>
  </si>
  <si>
    <t>INSTALAÇÕES HIDRO SANITÁRIAS</t>
  </si>
  <si>
    <t>INCÊNDIO</t>
  </si>
  <si>
    <t>Extintor de pó químico seco, 6 kg, quando não indicado, com disco de sinalização e suporte tipo ABC.</t>
  </si>
  <si>
    <t>Extintor de agua pressurizada, 10 lts, quando não indicado, com disco de sinalização</t>
  </si>
  <si>
    <t>Sinalização para extintores e hidrantes</t>
  </si>
  <si>
    <t>Esguicho cônico-tronco cônico Ø 38 x 16 mm</t>
  </si>
  <si>
    <t>Sinalização de rota de fuga</t>
  </si>
  <si>
    <t>CLIMATIZAÇÃO</t>
  </si>
  <si>
    <t>SERVIÇOS FINAIS</t>
  </si>
  <si>
    <t xml:space="preserve">PLANILHA ORÇAMENTÁRIA </t>
  </si>
  <si>
    <t xml:space="preserve">CONTATO: </t>
  </si>
  <si>
    <t>DESCRIÇÃO - SERVIÇOS</t>
  </si>
  <si>
    <t>UNID.</t>
  </si>
  <si>
    <t>UNITÁRIO</t>
  </si>
  <si>
    <t>PREÇO R$ MAT.</t>
  </si>
  <si>
    <t>PREÇO R$ M.O</t>
  </si>
  <si>
    <t>TOTAL (R$)</t>
  </si>
  <si>
    <t>1.1</t>
  </si>
  <si>
    <t>1.2</t>
  </si>
  <si>
    <t xml:space="preserve">EMAIL: </t>
  </si>
  <si>
    <t xml:space="preserve">TELEFONE:  </t>
  </si>
  <si>
    <t>VERSÃO:</t>
  </si>
  <si>
    <t>2.1</t>
  </si>
  <si>
    <t>2.2</t>
  </si>
  <si>
    <t>3.1</t>
  </si>
  <si>
    <t>3.2</t>
  </si>
  <si>
    <t>3.3</t>
  </si>
  <si>
    <t>4.1</t>
  </si>
  <si>
    <t>5.1</t>
  </si>
  <si>
    <t>5.2</t>
  </si>
  <si>
    <t>6.1</t>
  </si>
  <si>
    <t>6.2</t>
  </si>
  <si>
    <t>6.3</t>
  </si>
  <si>
    <t>6.5</t>
  </si>
  <si>
    <t>8.1</t>
  </si>
  <si>
    <t>8.2</t>
  </si>
  <si>
    <t>8.3</t>
  </si>
  <si>
    <t>GRANITOS / SOLEIRA E PEITORIL</t>
  </si>
  <si>
    <t xml:space="preserve">FUNDAÇÃO </t>
  </si>
  <si>
    <t>ART de obra (Responsabilidade Técnica).</t>
  </si>
  <si>
    <t>PLACA de obra em chapa de aço galvanizado com tamanho de 3,00x2,00m</t>
  </si>
  <si>
    <t>ABRIGO PROVISÓRIO de madeira executado na obra para alojamento e depósito de materiais, ferramentas e carpintaria  da obra com tamanho de 6,00x3,00m, incluindo o piso cimentado e instalações eletrica.</t>
  </si>
  <si>
    <t>ESCAVACAO manual campo aberto em solo exceto rocha até 2,00m profundidade, para fundação dos blocos.</t>
  </si>
  <si>
    <t xml:space="preserve">SUPERESTRUTURA </t>
  </si>
  <si>
    <t>FORMA em chapa de madeira compensada plastificada 12 mm, para estruturas de concreto reapr. 2x (corte/ montagem/ escoramento/ desforma)</t>
  </si>
  <si>
    <t>GÁS</t>
  </si>
  <si>
    <t xml:space="preserve">FORRO / TETO </t>
  </si>
  <si>
    <t>pç</t>
  </si>
  <si>
    <t>PISO INTERNO E EXTERNO</t>
  </si>
  <si>
    <t>2.1.1</t>
  </si>
  <si>
    <t>Tubos e Conexões em PVC Rigido Série "R"</t>
  </si>
  <si>
    <t>Tubo - 40mm</t>
  </si>
  <si>
    <t>Tubo - 50mm</t>
  </si>
  <si>
    <t>Tubo - 100mm</t>
  </si>
  <si>
    <t>Luva 100mm</t>
  </si>
  <si>
    <t>Grelha Hemisférica</t>
  </si>
  <si>
    <t>Tubo e Conexões em cobre Classe E</t>
  </si>
  <si>
    <t>Tubo 66mm</t>
  </si>
  <si>
    <t>Te 66mm</t>
  </si>
  <si>
    <t>Armario para abrigo de mangueiras de sobrepor (75X60X17cm)</t>
  </si>
  <si>
    <t>Registro globo 45° - 2.1/2"  engate rapido tampão tipo Storz com corrente</t>
  </si>
  <si>
    <t>Joelho 66mm</t>
  </si>
  <si>
    <t>Elétrica</t>
  </si>
  <si>
    <t>Outros</t>
  </si>
  <si>
    <t>4.1.1</t>
  </si>
  <si>
    <t>4.1.4</t>
  </si>
  <si>
    <t>Haste de aterramento 5/8"X3.00m</t>
  </si>
  <si>
    <t>Cx. de inspeção tipo solo em pvc com tampa em ferro fundido</t>
  </si>
  <si>
    <t>Cabo de cobre nu 35mm2</t>
  </si>
  <si>
    <t>Abraçadeira guia simples para mastro 2"</t>
  </si>
  <si>
    <t>Abraçadeira guia reforçada para mastro 1.1/2"</t>
  </si>
  <si>
    <t>Abraçadeira guia reforçada para mastro 2"</t>
  </si>
  <si>
    <t>Sinalizador noturno para obstaculos</t>
  </si>
  <si>
    <t>Conjunto estaiamento rigido 2m x 2"</t>
  </si>
  <si>
    <t>Base 2"</t>
  </si>
  <si>
    <t>Cx passagem 4x2"</t>
  </si>
  <si>
    <t>Eletroduto rigido metalico 3/4"</t>
  </si>
  <si>
    <t>Cabo para alarme de incendio endereçavel</t>
  </si>
  <si>
    <t>Botoeira para acionamento de bomba de incendio</t>
  </si>
  <si>
    <t>Botoeira para acionamento de alarme de incendio</t>
  </si>
  <si>
    <t>PAISAGISMO</t>
  </si>
  <si>
    <t>Eletroduto 3/4"</t>
  </si>
  <si>
    <t>Eletroduto 1.1/2"</t>
  </si>
  <si>
    <t>Caixa 4x2"</t>
  </si>
  <si>
    <t>Caixa passagem 20x20cm</t>
  </si>
  <si>
    <t>Interruptor simples</t>
  </si>
  <si>
    <t xml:space="preserve">Tomada univ. (2P+T) – 10A /127V </t>
  </si>
  <si>
    <t>Tomada univ. (2P+T) – 10A/250V</t>
  </si>
  <si>
    <t>Bloco autonomo para iluminação de emergencia autonomia 10h</t>
  </si>
  <si>
    <t>12.4</t>
  </si>
  <si>
    <t>Total</t>
  </si>
  <si>
    <t>OMISSOS</t>
  </si>
  <si>
    <t>8.4</t>
  </si>
  <si>
    <t>IMPERMEABILIZAÇÃO</t>
  </si>
  <si>
    <t>CONCRETO Usinado bombeado fck=30</t>
  </si>
  <si>
    <t>2.2.1</t>
  </si>
  <si>
    <t>2.2.2</t>
  </si>
  <si>
    <t>2.2.3</t>
  </si>
  <si>
    <t>2.2.4</t>
  </si>
  <si>
    <t>2.2.5</t>
  </si>
  <si>
    <t>2.2.6</t>
  </si>
  <si>
    <t>4.1.5</t>
  </si>
  <si>
    <t xml:space="preserve">Disjuntor monopolar 10A </t>
  </si>
  <si>
    <t xml:space="preserve"> </t>
  </si>
  <si>
    <t>17.2</t>
  </si>
  <si>
    <t>17.3</t>
  </si>
  <si>
    <t>TAPUME de chapa de madeira compensada (10mm)  em pintura em esmalte sintetico com porta e ferragem COM REAPROVEITAMENTO</t>
  </si>
  <si>
    <t>LIMPEZA DURANTE  e FINAL da obra</t>
  </si>
  <si>
    <t>10.1</t>
  </si>
  <si>
    <t>10.2</t>
  </si>
  <si>
    <t>REVESTIMENTO DE PAREDE INTERNO</t>
  </si>
  <si>
    <t>15.1</t>
  </si>
  <si>
    <t>15.2</t>
  </si>
  <si>
    <t>15.3</t>
  </si>
  <si>
    <t>REVESTIMENTO DE PAREDE EXTERNO</t>
  </si>
  <si>
    <t>5.1.2</t>
  </si>
  <si>
    <t>5.1.1</t>
  </si>
  <si>
    <t>5.1.3</t>
  </si>
  <si>
    <t>5.1.4</t>
  </si>
  <si>
    <t>5.1.5</t>
  </si>
  <si>
    <t>12.2</t>
  </si>
  <si>
    <t>14.1</t>
  </si>
  <si>
    <t>14.1.1</t>
  </si>
  <si>
    <t>16.1</t>
  </si>
  <si>
    <t>16.1.1</t>
  </si>
  <si>
    <t>16.2</t>
  </si>
  <si>
    <t>16.2.1</t>
  </si>
  <si>
    <t>16.2.2</t>
  </si>
  <si>
    <t>17.1</t>
  </si>
  <si>
    <t>18.1</t>
  </si>
  <si>
    <t>EMBOCO traço 1:4,5 (cal e areia média), espessura 2,0cm, preparo manual da argamassa</t>
  </si>
  <si>
    <t>REBOCO argamassa traço 1:4,5 (cal e areia fina), espessura 0,5cm, preparo mecânico da argamassa</t>
  </si>
  <si>
    <t>Mastro telescopico 6m ( 3m x 1.1/2" + 3m x 2")</t>
  </si>
  <si>
    <t>5.2.1</t>
  </si>
  <si>
    <t>2.1.2</t>
  </si>
  <si>
    <t>2.2.7</t>
  </si>
  <si>
    <t>VERGA E CONTRAVERGAS DE CONCRETO para portas e janelas</t>
  </si>
  <si>
    <t xml:space="preserve">Lastro de Concreto magro com 5cm </t>
  </si>
  <si>
    <t>Barra chata de aluminio</t>
  </si>
  <si>
    <t>Tubos e Conexões em Cobre 66mm</t>
  </si>
  <si>
    <t>Mangueira de 40mm de incendio com 30m</t>
  </si>
  <si>
    <t>Avisador tipo Sirene para alarme</t>
  </si>
  <si>
    <t xml:space="preserve">Central de alarme com bateria </t>
  </si>
  <si>
    <t>cj</t>
  </si>
  <si>
    <t>Hidráulica</t>
  </si>
  <si>
    <t>Infraestrutura /  Estacas</t>
  </si>
  <si>
    <t>Infraestrutura /  Blocos e Baldrames</t>
  </si>
  <si>
    <t>Alvenaria e Drywall</t>
  </si>
  <si>
    <t>Piso Interno</t>
  </si>
  <si>
    <t>Piso Externo (paisagismo)</t>
  </si>
  <si>
    <t>Acessórios, Louças e Metais</t>
  </si>
  <si>
    <t>Água Pluvial (Drenagem)</t>
  </si>
  <si>
    <t>Esgoto - Série "R"</t>
  </si>
  <si>
    <t>Água Fria</t>
  </si>
  <si>
    <t>Quadros e Acessórios</t>
  </si>
  <si>
    <t xml:space="preserve">Disjuntor bipolar 40A </t>
  </si>
  <si>
    <t>DPS CLASSE II - 20KA</t>
  </si>
  <si>
    <t>Caixa passagem 60x60cm</t>
  </si>
  <si>
    <t>12.5</t>
  </si>
  <si>
    <t>Interruptor bipolar paralelo</t>
  </si>
  <si>
    <t>interruptor bipolar</t>
  </si>
  <si>
    <t>Sensor de presença, interruptor</t>
  </si>
  <si>
    <t>Tomada univ. (2P+T) – 10A/250V - PROVA D'AGUA</t>
  </si>
  <si>
    <t>Tomada steck</t>
  </si>
  <si>
    <t>Eletrocalha 100x100mm</t>
  </si>
  <si>
    <t>Eletrocalha 200x100mm</t>
  </si>
  <si>
    <t>Caixa de equalização em aço, 8 terminais cabos de cobre 16mm2e 1 terminal cabo de cobre 50mm2</t>
  </si>
  <si>
    <t>Rebar de aço galvanizado a fogo</t>
  </si>
  <si>
    <t xml:space="preserve"> Tubos e Conexões - Pvc Rigido Marrom Soldavel</t>
  </si>
  <si>
    <t>Joelho 90° - 60mm</t>
  </si>
  <si>
    <t xml:space="preserve">Te - 60mm </t>
  </si>
  <si>
    <t>Tubos e Conexões em PVC Rigido Branco</t>
  </si>
  <si>
    <t>12.6</t>
  </si>
  <si>
    <t>Flange 66mm</t>
  </si>
  <si>
    <t>BARRACAO de obra para banheiro/vestiário, piso em pinho 3a, paredes, com instalação provisoria de hidrossanitaria e eletrica. (6,00x3,00)</t>
  </si>
  <si>
    <t>CAÇAMBA de entulho com 4m3, incluso transporte vertical e horizontal (entulho durante a obra)</t>
  </si>
  <si>
    <t xml:space="preserve">Transporte de entulhos em CAMINHÃO BASCULHANTE com capacidade de 10m3 / 15T em Rua Pavimentada de ate 10km de distancia. (da demolição do inicio da obra) </t>
  </si>
  <si>
    <t>ALVENARIA em bloco de concreto (espessura 19 cm)</t>
  </si>
  <si>
    <t>6.4</t>
  </si>
  <si>
    <t>20.1</t>
  </si>
  <si>
    <t>Captor Franklin c/ base em latão, pontas e parafusos</t>
  </si>
  <si>
    <t xml:space="preserve">CLIENTE: </t>
  </si>
  <si>
    <r>
      <t xml:space="preserve">ENDEREÇO: </t>
    </r>
    <r>
      <rPr>
        <sz val="11"/>
        <rFont val="Tahoma"/>
        <family val="2"/>
      </rPr>
      <t>Bairro da Liberdade</t>
    </r>
  </si>
  <si>
    <t>CONCRETO fck=35 Mpa</t>
  </si>
  <si>
    <t>8.5</t>
  </si>
  <si>
    <t>8.6</t>
  </si>
  <si>
    <t>10.1.1</t>
  </si>
  <si>
    <t>10.1.2</t>
  </si>
  <si>
    <t>10.1.3</t>
  </si>
  <si>
    <t>10.2.1</t>
  </si>
  <si>
    <t>10.2.2</t>
  </si>
  <si>
    <t>1 - CONCRETO desempenado rosado com orla/junta de dilatação.</t>
  </si>
  <si>
    <t xml:space="preserve">un </t>
  </si>
  <si>
    <t>2.1.3</t>
  </si>
  <si>
    <t>ARMADURA de aço para viga, lajes e pilares, CA-50 / CA-60</t>
  </si>
  <si>
    <t>Kg</t>
  </si>
  <si>
    <t>ARMADURA de aço para blocos, baldrames</t>
  </si>
  <si>
    <t>Soleira</t>
  </si>
  <si>
    <t>Peitoril</t>
  </si>
  <si>
    <t>9.1</t>
  </si>
  <si>
    <t>9.1.1</t>
  </si>
  <si>
    <t>9.1.2</t>
  </si>
  <si>
    <t>9.1.3</t>
  </si>
  <si>
    <t>9.1.4</t>
  </si>
  <si>
    <t>9.1.5</t>
  </si>
  <si>
    <t>9.2</t>
  </si>
  <si>
    <t>9.2.1</t>
  </si>
  <si>
    <t>9.2.2</t>
  </si>
  <si>
    <t>9.3</t>
  </si>
  <si>
    <t>9.3.1</t>
  </si>
  <si>
    <t>9.3.2</t>
  </si>
  <si>
    <t>9.3.3</t>
  </si>
  <si>
    <t>Elementos de Ferro</t>
  </si>
  <si>
    <t>Esquadrias de Madeira</t>
  </si>
  <si>
    <t>Esquadrias de Alumínio</t>
  </si>
  <si>
    <t>4.1.2</t>
  </si>
  <si>
    <t>ALVENARIA em bloco de concreto (espessura 14 cm)</t>
  </si>
  <si>
    <t>4.1.3</t>
  </si>
  <si>
    <t>RODAPÉ IDEM AO PISO ITEM 3, h=7cm.</t>
  </si>
  <si>
    <t>ESQUADRIAS DE ALUMINO / MADEIRA / FERRO / VIDRO</t>
  </si>
  <si>
    <t>1 - TORNEIRA DE FECHAMENTO AUTOMÁTICO LÓGGICA MATIC "DOCOL" REF: 00652806.</t>
  </si>
  <si>
    <t>SO-09 Granito branco Itaúnas 0,80 x 0,13</t>
  </si>
  <si>
    <t>SO-10 Granito branco Itaúnas 0,60 x 0,13</t>
  </si>
  <si>
    <t>10.2.3</t>
  </si>
  <si>
    <t>18.2</t>
  </si>
  <si>
    <t>COBERTURA</t>
  </si>
  <si>
    <t>18.3</t>
  </si>
  <si>
    <t>ORÇAMENTO SETOR 3 - QUADRA CENTRAL - CASA COMERCIAL</t>
  </si>
  <si>
    <t xml:space="preserve">1 / 2 - LAJE COM ACABAMENTO EM PINTURA ACRÍLICA BRANCA. </t>
  </si>
  <si>
    <t>3 - GESSO ACARTONADO COM ACABAMENTO EM PINTURA ACRÍLICA BRANCA E BORDA TABICADA. (ver altura do forro no projeto de arquitetura)</t>
  </si>
  <si>
    <t>4 - GESSO ACARTONADO INCLINADO COM ACABAMENTO EM PINTURA ACRÍLICA BRANCA E BORDA TABICADA RENTE À COBERTURA.</t>
  </si>
  <si>
    <t>CONTRAPISO para regularização geral. Traço 1:3
1 - CONTRAPISO regularizado e nivelado. (Piso por conta do locatário)
NOTA: Verificar espessura do contrapiso no projeto básico de Arquitetura.</t>
  </si>
  <si>
    <t>3 - PORCELANATO Panna Plus NA "Eliane" 60x60cm.
Colocação ortogonal e assentamento sobre argamassa e rejunte acrílico na mesma cor do piso.</t>
  </si>
  <si>
    <t>2 - GRANITO Branco Itaúnas.</t>
  </si>
  <si>
    <t>RODAPÉ IDEM AO PISO ITEM 2, h=25cm. 
Assentamento e rejunte acrílico na mesma cor do piso.</t>
  </si>
  <si>
    <t>AL-01 - JANELAS DO SUBSOLO de alumínio - com pintura anodizada de interferência Prodec</t>
  </si>
  <si>
    <t>AL-02 - JANELAS DO TÉRREO de alumínio - com pintura anodizada de interferência Prodec</t>
  </si>
  <si>
    <t>AL-03 - PORTA - com pintura anodizada de interferência Prodec</t>
  </si>
  <si>
    <t>AL-04 - JANELAS DO 1º PAVIMENTO de alumínio - com pintura anodizada de interferência Prodec</t>
  </si>
  <si>
    <t>AL-05 - PORTA 0,65 x 1,50 - com pintura anodizada de interferência Prodec</t>
  </si>
  <si>
    <t>EF-01 - PORTÃO DE ENROLAR TRANSVISION.</t>
  </si>
  <si>
    <t>EF-02 - CORRIMÃO/ GUARDA CORPO TIPO 1. (escada subsolo)</t>
  </si>
  <si>
    <t>EF-03 - CORRIMÃO/ GUARDA CORPO TIPO 2. (escada mezanino)</t>
  </si>
  <si>
    <t>2 - FILETADO CANJIQUINHA DE QUARTZITO.
COR: BRANCA - ESPESSURA 2cm A 4cm.</t>
  </si>
  <si>
    <t>A - FÓRMICA FORMIWALL COR BRANCA (L120) e = 1,3mm. (SANITÁRIO PRIVATIVO)</t>
  </si>
  <si>
    <t>B - PINTURA LÁTEX BRANCA
REF.: "SUVINIL" CLÁSSICA. COD.: A526 - NUVEM DE PAPEL</t>
  </si>
  <si>
    <t>SO-01 Granito branco Itaúnas 2,00 x 0,25</t>
  </si>
  <si>
    <t>PE-01 (JANELAS SUBSOLO)</t>
  </si>
  <si>
    <t>PE-02 (JANELAS TÉRREO)</t>
  </si>
  <si>
    <t>PE-03 (JANELAS 1º PAVIMENTO)</t>
  </si>
  <si>
    <t>Tesouras de madeira envernizadas aparentes.</t>
  </si>
  <si>
    <t>18.4</t>
  </si>
  <si>
    <t>Peças de acabamento para a cobertura como rufos e calhas.</t>
  </si>
  <si>
    <t>TELHAS SHINGLE (produzidas com base asfáltica e manta de fibra de vidro, cobertas com minerais granulados) cor Evergreen. Ref.: Brasilit.</t>
  </si>
  <si>
    <t>Fornecimento e execução de base em painel estrutural de madeira para apoio da cobertura.</t>
  </si>
  <si>
    <t xml:space="preserve">ARMADURA de aço para 24 estacas CA-50:                                                                   </t>
  </si>
  <si>
    <t>COD</t>
  </si>
  <si>
    <t>02-01-83</t>
  </si>
  <si>
    <t>03-03-21</t>
  </si>
  <si>
    <t>03-03-04</t>
  </si>
  <si>
    <t>20.2</t>
  </si>
  <si>
    <t>Equipamento</t>
  </si>
  <si>
    <t>Unidade Condensadora e Evaporadora</t>
  </si>
  <si>
    <t>Condensador e Evaporadora do Tipo Cassete de 36.000 BTUs Completo</t>
  </si>
  <si>
    <t>Condensador e Evaporadora do Tipo Cassete de 48.000 BTUs Completo</t>
  </si>
  <si>
    <t>MICROEXAUSTOR AXIAL para Lavabos</t>
  </si>
  <si>
    <t>04-02-00</t>
  </si>
  <si>
    <t>04-35-00</t>
  </si>
  <si>
    <t>04-08-00</t>
  </si>
  <si>
    <t>13-01-14</t>
  </si>
  <si>
    <t>03-01-17</t>
  </si>
  <si>
    <t>03-03-23</t>
  </si>
  <si>
    <t>03-02-04</t>
  </si>
  <si>
    <t>04-01-42</t>
  </si>
  <si>
    <t>04-01-41</t>
  </si>
  <si>
    <t>04-01-98</t>
  </si>
  <si>
    <t>05-01-40</t>
  </si>
  <si>
    <t>13-02-58</t>
  </si>
  <si>
    <t>13-02-38</t>
  </si>
  <si>
    <t>13-02-03</t>
  </si>
  <si>
    <t>11-02-01</t>
  </si>
  <si>
    <t>11-02-08</t>
  </si>
  <si>
    <t>11-02-13</t>
  </si>
  <si>
    <t>11-02-75</t>
  </si>
  <si>
    <t>15-01-10</t>
  </si>
  <si>
    <t>11-01-01</t>
  </si>
  <si>
    <t>11-01-08</t>
  </si>
  <si>
    <t>11-01-13</t>
  </si>
  <si>
    <t>12-01-42</t>
  </si>
  <si>
    <t>08-02-51</t>
  </si>
  <si>
    <t>08-01-40</t>
  </si>
  <si>
    <t>08-01-45</t>
  </si>
  <si>
    <t>PM-01 - PORTA de madeira lisa comum/encabeçada com pintura branca seladora 0,82 x 2,10 m</t>
  </si>
  <si>
    <t>PM-02 - PORTA de madeira lisa comum/encabeçada com pintura branca seladora 0,62 x 2,10 m</t>
  </si>
  <si>
    <t>07-01-12</t>
  </si>
  <si>
    <t>08-01-50</t>
  </si>
  <si>
    <t>17-05-25</t>
  </si>
  <si>
    <t>13-04-05</t>
  </si>
  <si>
    <t>11-04-58</t>
  </si>
  <si>
    <t>10-14-10</t>
  </si>
  <si>
    <t>10-80-70</t>
  </si>
  <si>
    <t>10-13-03</t>
  </si>
  <si>
    <t>10-14-15</t>
  </si>
  <si>
    <t>05-01-30</t>
  </si>
  <si>
    <t>17-04-01</t>
  </si>
  <si>
    <t>Fornecimento de muda e Plantio Eragrostis curvula (Capim-chorão) - Porte 0,20m (CONTABILIZADO NA TABELA DA QUADRA CENTRAL - CENTRO COMERCIAL)</t>
  </si>
  <si>
    <t>Terra para plantio (CONTABILIZADO NA TABELA DA QUADRA CENTRAL - CENTRO COMERCIAL)</t>
  </si>
  <si>
    <t>18-03-07</t>
  </si>
  <si>
    <t>18-80-11</t>
  </si>
  <si>
    <t>FONTE</t>
  </si>
  <si>
    <t>SIURB</t>
  </si>
  <si>
    <t>14.30.410</t>
  </si>
  <si>
    <t>CDHU</t>
  </si>
  <si>
    <t>14.30.310</t>
  </si>
  <si>
    <t>44.01.110</t>
  </si>
  <si>
    <t>2 - LAVATÓRIO "DECA" LINHA VOGUE PLUS COD: L.51.17 (PNEs/ PRIVATIVOS)
COM COLUNA PARA LAVATÓRIO "DECA" LINHA VOGUE PLUS COD: CS.1.17 (PRIVATIVOS CJ)</t>
  </si>
  <si>
    <t>3 - SIFÃO EXTENSÍVEL UNIVERSAL 150cm "DOCOL" Ref.: 00796626.</t>
  </si>
  <si>
    <t>4 - BACIA COM CAIXA ACOPLADA "DECA" IZY CONFORTO  BRANCO COM ACIONAMENTO DUO. 
Ref.: P.115.17 / CDC.00F17</t>
  </si>
  <si>
    <t xml:space="preserve">5 - ACABAMENTO PARA REGISTRO “DECA” IZY ATÉ 1” E PRESSÃO 1/2" E 3/4 </t>
  </si>
  <si>
    <t>Demolição de edificação existente (valores estimados - antigos banheiros públicos) ALVENARIA INTERNA E EXTERNA</t>
  </si>
  <si>
    <t>04-50-04</t>
  </si>
  <si>
    <t>Demolição de edificação existente (valores estimados - antigos banheiros públicos)
ESTRUTURA</t>
  </si>
  <si>
    <t>04-50-09</t>
  </si>
  <si>
    <t>Demolição de edificação existente (valores estimados - antigos banheiros públicos)
COBERTURA</t>
  </si>
  <si>
    <t>06-50-25</t>
  </si>
  <si>
    <t>Demolições / Bota Fora</t>
  </si>
  <si>
    <t>1.2.1</t>
  </si>
  <si>
    <t>1.2.2</t>
  </si>
  <si>
    <t>1.2.3</t>
  </si>
  <si>
    <t>1.1.1</t>
  </si>
  <si>
    <t>1.1.2</t>
  </si>
  <si>
    <t>1.1.3</t>
  </si>
  <si>
    <t>1.1.4</t>
  </si>
  <si>
    <t>1.1.8</t>
  </si>
  <si>
    <t>1.1.9</t>
  </si>
  <si>
    <t>Serviços Iniciais</t>
  </si>
  <si>
    <t>1.2.4</t>
  </si>
  <si>
    <t>Corte, recorte e remoção de árvore inclusive raízes diâmetro &gt;90cm</t>
  </si>
  <si>
    <t>04-33-14</t>
  </si>
  <si>
    <t>12.1</t>
  </si>
  <si>
    <t>12.8</t>
  </si>
  <si>
    <t>12.9</t>
  </si>
  <si>
    <t>12.10</t>
  </si>
  <si>
    <t>12.11</t>
  </si>
  <si>
    <t>12.12</t>
  </si>
  <si>
    <t>12.13</t>
  </si>
  <si>
    <t>12.14</t>
  </si>
  <si>
    <t>Tubo 35mm ( 1 1/4")</t>
  </si>
  <si>
    <t>Válvula Esfera (1 1/4")</t>
  </si>
  <si>
    <t>11.1.2</t>
  </si>
  <si>
    <t xml:space="preserve">QD -  TÍPICO (Sala Comercial) - Chapa metalica, sobrepor, barramento trifasico, neutro e terra. </t>
  </si>
  <si>
    <t xml:space="preserve">Quadro de distribuição universal de embutir, para disjuntores 24 DIN /
18 Bolt‐on ‐ 150 A </t>
  </si>
  <si>
    <t>37.03.210</t>
  </si>
  <si>
    <t>Interruptor DR 10A  30mA 2P</t>
  </si>
  <si>
    <t xml:space="preserve">Disjuntor bipolar 16A </t>
  </si>
  <si>
    <t>Não definido</t>
  </si>
  <si>
    <t>Ponto de iluminação (interna e externo)</t>
  </si>
  <si>
    <t>Ponto de tomada</t>
  </si>
  <si>
    <t>Ponto de interruptores</t>
  </si>
  <si>
    <t>11.4</t>
  </si>
  <si>
    <t>Sistemas - tv, telefone, interfone (Somente Infra-estrutura)</t>
  </si>
  <si>
    <t>46.10.250</t>
  </si>
  <si>
    <t>50.01.060</t>
  </si>
  <si>
    <t>10-05-60</t>
  </si>
  <si>
    <t>10-08-73</t>
  </si>
  <si>
    <t>10-08-68</t>
  </si>
  <si>
    <t>09-83-90</t>
  </si>
  <si>
    <t>09-11-14</t>
  </si>
  <si>
    <t>09-06-94</t>
  </si>
  <si>
    <t>09-11-94</t>
  </si>
  <si>
    <t>42.05.370</t>
  </si>
  <si>
    <t>09-11-05</t>
  </si>
  <si>
    <t>09-84-18</t>
  </si>
  <si>
    <t>09-04-03</t>
  </si>
  <si>
    <t>42.04.060</t>
  </si>
  <si>
    <t>13.3.1</t>
  </si>
  <si>
    <t>Terminal de Ventilação - 75mm</t>
  </si>
  <si>
    <t>Caixa de gordura  18L</t>
  </si>
  <si>
    <t>13.4.1</t>
  </si>
  <si>
    <t>13.4.2</t>
  </si>
  <si>
    <t>13.4.3</t>
  </si>
  <si>
    <t>13.4.4</t>
  </si>
  <si>
    <t>13.4.5</t>
  </si>
  <si>
    <t>Luva de 100mm</t>
  </si>
  <si>
    <t>Caixa de Passagem de alvenaria na Av Radial de 60x60x60</t>
  </si>
  <si>
    <t>09-05-25</t>
  </si>
  <si>
    <t>09-02-11</t>
  </si>
  <si>
    <t>50.05.440</t>
  </si>
  <si>
    <t>09-10-54</t>
  </si>
  <si>
    <t>50.05.170</t>
  </si>
  <si>
    <t>09-10-63</t>
  </si>
  <si>
    <t>09-10-53</t>
  </si>
  <si>
    <t>97.02.195</t>
  </si>
  <si>
    <t>97.02.194</t>
  </si>
  <si>
    <t>10-08-92</t>
  </si>
  <si>
    <t>10-08-85</t>
  </si>
  <si>
    <t>46.10.220</t>
  </si>
  <si>
    <t>47.07.031</t>
  </si>
  <si>
    <t>09-05-59</t>
  </si>
  <si>
    <t xml:space="preserve">Junção - 100 x 50mm                                                                                    </t>
  </si>
  <si>
    <t>ENDEREÇO: Rua Galvão Bueno s/n</t>
  </si>
  <si>
    <r>
      <t xml:space="preserve">OBRA: </t>
    </r>
    <r>
      <rPr>
        <sz val="11"/>
        <rFont val="Tahoma"/>
        <family val="2"/>
      </rPr>
      <t xml:space="preserve">Quadra Central - Casa Comercial </t>
    </r>
  </si>
  <si>
    <r>
      <t xml:space="preserve">EMPRESA: </t>
    </r>
    <r>
      <rPr>
        <sz val="11"/>
        <rFont val="Tahoma"/>
        <family val="2"/>
      </rPr>
      <t>SPP</t>
    </r>
  </si>
  <si>
    <t>03-02-07</t>
  </si>
  <si>
    <t>09-08-80</t>
  </si>
  <si>
    <t>37.13.600</t>
  </si>
  <si>
    <t>37.24.044</t>
  </si>
  <si>
    <t>37.17.060</t>
  </si>
  <si>
    <t>09-02-14</t>
  </si>
  <si>
    <t>09-05-43</t>
  </si>
  <si>
    <t>09-05-64</t>
  </si>
  <si>
    <t>17-30-02</t>
  </si>
  <si>
    <t>01-05-02</t>
  </si>
  <si>
    <t>01-05-06</t>
  </si>
  <si>
    <t>SINAPI</t>
  </si>
  <si>
    <t>93584</t>
  </si>
  <si>
    <t>02.02.130</t>
  </si>
  <si>
    <t>LOCACAO convencional de obra, através de gabarito de tábuas corridas pontaletadas, sem reaproveitamento. Incluso a consultoria do Topografo.</t>
  </si>
  <si>
    <t>02.10.020</t>
  </si>
  <si>
    <t>05.04.060</t>
  </si>
  <si>
    <t>93212</t>
  </si>
  <si>
    <t>12.3</t>
  </si>
  <si>
    <t>12.7</t>
  </si>
  <si>
    <t>13-80-18</t>
  </si>
  <si>
    <t>263-ORC-PB-003-R00</t>
  </si>
  <si>
    <t>15.3.1</t>
  </si>
  <si>
    <t>15.3.2</t>
  </si>
  <si>
    <t>15.3.3</t>
  </si>
  <si>
    <t>15.3.4</t>
  </si>
  <si>
    <t>15.2.1</t>
  </si>
  <si>
    <t>15.2.2</t>
  </si>
  <si>
    <t>15.2.3</t>
  </si>
  <si>
    <t>15.2.4</t>
  </si>
  <si>
    <t>15.2.5</t>
  </si>
  <si>
    <t>15.2.6</t>
  </si>
  <si>
    <t>15.2.7</t>
  </si>
  <si>
    <t>15.1.1</t>
  </si>
  <si>
    <t>11.1</t>
  </si>
  <si>
    <t>11.2</t>
  </si>
  <si>
    <t>11.3</t>
  </si>
  <si>
    <t>Luminárias não incluso no quantitativo</t>
  </si>
  <si>
    <r>
      <t xml:space="preserve">Luminárias </t>
    </r>
    <r>
      <rPr>
        <sz val="11"/>
        <rFont val="Tahoma"/>
        <family val="2"/>
      </rPr>
      <t>(+Lâmpada)</t>
    </r>
  </si>
  <si>
    <t>11.2.1</t>
  </si>
  <si>
    <t>11.2.2</t>
  </si>
  <si>
    <t>11.2.3</t>
  </si>
  <si>
    <t>11.2.4</t>
  </si>
  <si>
    <t>11.2.5</t>
  </si>
  <si>
    <t>11.3.1</t>
  </si>
  <si>
    <t>11.3.2</t>
  </si>
  <si>
    <t>11.3.3</t>
  </si>
  <si>
    <t>11.3.4</t>
  </si>
  <si>
    <t>11.3.5</t>
  </si>
  <si>
    <t>11.3.6</t>
  </si>
  <si>
    <t>11.3.7</t>
  </si>
  <si>
    <t>11.3.8</t>
  </si>
  <si>
    <t>11.3.9</t>
  </si>
  <si>
    <t>11.3.10</t>
  </si>
  <si>
    <t>11.3.11</t>
  </si>
  <si>
    <r>
      <t>Acabamentos</t>
    </r>
    <r>
      <rPr>
        <sz val="11"/>
        <rFont val="Tahoma"/>
        <family val="2"/>
      </rPr>
      <t xml:space="preserve"> - Tomadas, interruptor e Outros</t>
    </r>
  </si>
  <si>
    <r>
      <t xml:space="preserve">1 - </t>
    </r>
    <r>
      <rPr>
        <b/>
        <sz val="11"/>
        <rFont val="Calibri"/>
        <family val="2"/>
        <scheme val="minor"/>
      </rPr>
      <t>REVESTIMENTO EXTERNO COM MADEIRA TRATADA</t>
    </r>
    <r>
      <rPr>
        <sz val="11"/>
        <rFont val="Calibri"/>
        <family val="2"/>
        <scheme val="minor"/>
      </rPr>
      <t xml:space="preserve"> OU FÓRMICA TS EXTERIOR PARA FACHADAS SOBRE REBOCO. VEIOS EM SENTIDO HORIZONTAL. COD. PADRÃO: M911 - ALPINO WALNUT (PILARES DA FACHADA)</t>
    </r>
  </si>
  <si>
    <t>LATERAIS DAS JANELAS - REVESTIMENTO EXTERNO COM MADEIRA TRATADA OU FÓRMICA TS EXTERIOR PARA FACHADAS SOBRE REBOCO</t>
  </si>
  <si>
    <t>DIVISÓRIA em placas de gesso acartonado, resistência ao fogo de 30 minutos, RU/RU (e = 10cm) (lavabos)</t>
  </si>
  <si>
    <r>
      <t xml:space="preserve">Fornecimento e cravamento de 24 ESTACAS hélice contínua com </t>
    </r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 xml:space="preserve"> 40cm, comprimento = 14m a partir da cota do terreno atual</t>
    </r>
  </si>
  <si>
    <t>1.2.5</t>
  </si>
  <si>
    <t>01-01-07</t>
  </si>
  <si>
    <r>
      <t>1-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Impermeabilizante incorporado ao concreto (Tipo Penetron Admix ou equivalente) (consumo: conforme fabricante) + preparação da superfície.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(piso sobre terra)</t>
    </r>
  </si>
  <si>
    <t>2 - Membrana de poliuretano bicomponente (tipo Masterpur VD ou equivalente) + regularização + rodapé de 30cm impermeabilizado.
(área molhada sobre laje)</t>
  </si>
  <si>
    <t>3 - Sistema pré-fabricado de geocomposto para drenagem tipo Macdrain ou equivalente (consumo: conforme fabricante)
(cortinas)</t>
  </si>
  <si>
    <t xml:space="preserve">Joelho 90º - 35mm  (1 1/4")   </t>
  </si>
  <si>
    <t>1.1.5</t>
  </si>
  <si>
    <t>1.1.6</t>
  </si>
  <si>
    <t>1.1.7</t>
  </si>
  <si>
    <t>PORTAO em chapa aço galvanizado, painel único, com duas folhas, 3mx3,0m, incluso cadeado</t>
  </si>
  <si>
    <t>1.2.6</t>
  </si>
  <si>
    <t>01-01-10</t>
  </si>
  <si>
    <t>Movimentação de terra com remoção e transporte Manual Ate o Caminhão Basculhante</t>
  </si>
  <si>
    <t>13.1</t>
  </si>
  <si>
    <t>13.2</t>
  </si>
  <si>
    <t>13.4</t>
  </si>
  <si>
    <t>13.3</t>
  </si>
  <si>
    <t>7.1</t>
  </si>
  <si>
    <t>7.2</t>
  </si>
  <si>
    <t>7.3</t>
  </si>
  <si>
    <t>11.1.1</t>
  </si>
  <si>
    <t>11.1.3</t>
  </si>
  <si>
    <t>11.1.4</t>
  </si>
  <si>
    <t>11.4.1</t>
  </si>
  <si>
    <t>13.1.1</t>
  </si>
  <si>
    <t>13.2.1</t>
  </si>
  <si>
    <t>13.1.1.1</t>
  </si>
  <si>
    <t>13.1.1.2</t>
  </si>
  <si>
    <t>13.1.1.3</t>
  </si>
  <si>
    <t>13.2.1.1</t>
  </si>
  <si>
    <t>13.2.1.2</t>
  </si>
  <si>
    <t>13.2.1.4</t>
  </si>
  <si>
    <t>13.2.1.5</t>
  </si>
  <si>
    <t>13.2.1.6</t>
  </si>
  <si>
    <t>13.2.1.8</t>
  </si>
  <si>
    <t>13.2.1.12</t>
  </si>
  <si>
    <t>14.1.2</t>
  </si>
  <si>
    <t>14.1.3</t>
  </si>
  <si>
    <t>14.1.4</t>
  </si>
  <si>
    <t>15.1.1.1</t>
  </si>
  <si>
    <t>15.1.1.2</t>
  </si>
  <si>
    <t>15.1.1.3</t>
  </si>
  <si>
    <t>15.1.1.4</t>
  </si>
  <si>
    <t>15.1.1.5</t>
  </si>
  <si>
    <t>15.1.1.6</t>
  </si>
  <si>
    <t>15.1.1.7</t>
  </si>
  <si>
    <t>15.1.1.8</t>
  </si>
  <si>
    <t>19.1</t>
  </si>
  <si>
    <t>11.1.5</t>
  </si>
  <si>
    <t>11.1.6</t>
  </si>
  <si>
    <t>11.1.7</t>
  </si>
  <si>
    <t>11.1.8</t>
  </si>
  <si>
    <t>11.1.9</t>
  </si>
  <si>
    <t>11.1.10</t>
  </si>
  <si>
    <t xml:space="preserve">Joelho - 90º - 100mm </t>
  </si>
  <si>
    <t>13.3.2</t>
  </si>
  <si>
    <t>13.3.3</t>
  </si>
  <si>
    <t>13.3.4</t>
  </si>
  <si>
    <t>13.3.5</t>
  </si>
  <si>
    <t>13.3.6</t>
  </si>
  <si>
    <r>
      <t>DIVISÓRIA em placas de gesso acartonado</t>
    </r>
    <r>
      <rPr>
        <sz val="11"/>
        <rFont val="Calibri"/>
        <family val="2"/>
        <scheme val="minor"/>
      </rPr>
      <t xml:space="preserve"> ST/ST (e = 10cm) (repartições dentro dos conjuntos)</t>
    </r>
  </si>
  <si>
    <t>Caixa Sifonada - 100mm</t>
  </si>
  <si>
    <t xml:space="preserve">Joelho - 90º - 100mm                                                                                     </t>
  </si>
  <si>
    <t xml:space="preserve">Joelho 45º - 50mm                                                                                       </t>
  </si>
  <si>
    <t>Tubo 60mm (2")</t>
  </si>
  <si>
    <t xml:space="preserve">Joelho - 90º - 40mm                                                                                      </t>
  </si>
  <si>
    <t xml:space="preserve">Joelho - 90º - 50mm                                                                                      </t>
  </si>
  <si>
    <t>Ponto água fria</t>
  </si>
  <si>
    <t>13.1.1.4</t>
  </si>
  <si>
    <t>13.2.1.3</t>
  </si>
  <si>
    <t>13.2.1.7</t>
  </si>
  <si>
    <t>13.2.1.9</t>
  </si>
  <si>
    <t>13.2.1.10</t>
  </si>
  <si>
    <t>13.2.1.11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</si>
</sst>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;[Red]\-&quot;R$&quot;#,##0"/>
    <numFmt numFmtId="165" formatCode="_(* #,##0.00_);_(* \(#,##0.00\);_(* &quot;-&quot;??_);_(@_)"/>
    <numFmt numFmtId="166" formatCode="_(* #,##0.00_);_(* \(#,##0.00\);_(* \-??_);_(@_)"/>
    <numFmt numFmtId="167" formatCode="_-* #,##0.000_-;\-* #,##0.000_-;_-* &quot;-&quot;??_-;_-@_-"/>
    <numFmt numFmtId="168" formatCode="_-* #,##0_-;\-* #,##0_-;_-* &quot;-&quot;??_-;_-@_-"/>
  </numFmts>
  <fonts count="40" x14ac:knownFonts="1">
    <font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8"/>
      <name val="Tahoma"/>
      <family val="2"/>
    </font>
    <font>
      <sz val="10"/>
      <name val="Arial"/>
      <family val="2"/>
    </font>
    <font>
      <b/>
      <sz val="11"/>
      <name val="Tahoma"/>
      <family val="2"/>
    </font>
    <font>
      <sz val="8"/>
      <name val="Verdana"/>
      <family val="2"/>
    </font>
    <font>
      <sz val="11"/>
      <color rgb="FFFF0000"/>
      <name val="Calibri"/>
      <family val="2"/>
      <scheme val="minor"/>
    </font>
    <font>
      <sz val="11"/>
      <name val="Tahoma"/>
      <family val="2"/>
    </font>
    <font>
      <sz val="12"/>
      <color rgb="FFFF0000"/>
      <name val="Verdana"/>
      <family val="2"/>
    </font>
    <font>
      <sz val="11"/>
      <color rgb="FFFF0000"/>
      <name val="Tahoma"/>
      <family val="2"/>
    </font>
    <font>
      <sz val="12"/>
      <color rgb="FFFF0000"/>
      <name val="Tahoma"/>
      <family val="2"/>
    </font>
    <font>
      <b/>
      <sz val="12"/>
      <color rgb="FFFF0000"/>
      <name val="Verdana"/>
      <family val="2"/>
    </font>
    <font>
      <b/>
      <sz val="10"/>
      <name val="Tahoma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sz val="12"/>
      <color rgb="FF0000FF"/>
      <name val="Verdana"/>
      <family val="2"/>
    </font>
    <font>
      <sz val="11"/>
      <color rgb="FF0000FF"/>
      <name val="Calibri"/>
      <family val="2"/>
      <scheme val="minor"/>
    </font>
    <font>
      <sz val="11"/>
      <color rgb="FF0000FF"/>
      <name val="Tahoma"/>
      <family val="2"/>
    </font>
    <font>
      <b/>
      <sz val="12"/>
      <color rgb="FF0000FF"/>
      <name val="Verdana"/>
      <family val="2"/>
    </font>
    <font>
      <sz val="12"/>
      <color rgb="FF00B050"/>
      <name val="Verdana"/>
      <family val="2"/>
    </font>
    <font>
      <b/>
      <sz val="12"/>
      <color rgb="FFFF0000"/>
      <name val="Tahoma"/>
      <family val="2"/>
    </font>
    <font>
      <sz val="12"/>
      <color rgb="FF0000FF"/>
      <name val="Tahoma"/>
      <family val="2"/>
    </font>
    <font>
      <b/>
      <sz val="11"/>
      <color rgb="FF0000FF"/>
      <name val="Tahoma"/>
      <family val="2"/>
    </font>
    <font>
      <b/>
      <sz val="18"/>
      <color rgb="FF0000FF"/>
      <name val="Tahom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sz val="10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CCCC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219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20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164" fontId="10" fillId="0" borderId="0" applyFont="0" applyFill="0" applyBorder="0" applyAlignment="0" applyProtection="0"/>
    <xf numFmtId="0" fontId="21" fillId="0" borderId="0"/>
    <xf numFmtId="0" fontId="21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43" fontId="10" fillId="0" borderId="0" applyFont="0" applyFill="0" applyBorder="0" applyAlignment="0" applyProtection="0"/>
    <xf numFmtId="166" fontId="10" fillId="0" borderId="0" applyFill="0" applyAlignment="0" applyProtection="0"/>
    <xf numFmtId="0" fontId="1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164" fontId="10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218">
    <xf numFmtId="0" fontId="0" fillId="0" borderId="0" xfId="0" applyAlignment="1">
      <alignment horizontal="left" vertical="center"/>
    </xf>
    <xf numFmtId="0" fontId="16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5" fillId="6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5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43" fontId="25" fillId="0" borderId="0" xfId="0" applyNumberFormat="1" applyFont="1" applyAlignment="1">
      <alignment horizontal="left" vertical="center"/>
    </xf>
    <xf numFmtId="0" fontId="23" fillId="6" borderId="0" xfId="0" applyFont="1" applyFill="1" applyAlignment="1">
      <alignment horizontal="left" vertical="center"/>
    </xf>
    <xf numFmtId="0" fontId="13" fillId="9" borderId="4" xfId="0" applyFont="1" applyFill="1" applyBorder="1" applyAlignment="1">
      <alignment horizontal="center" vertical="center"/>
    </xf>
    <xf numFmtId="43" fontId="13" fillId="9" borderId="4" xfId="1" applyFont="1" applyFill="1" applyBorder="1" applyAlignment="1">
      <alignment horizontal="center" vertical="center"/>
    </xf>
    <xf numFmtId="43" fontId="13" fillId="0" borderId="4" xfId="1" applyFont="1" applyBorder="1" applyAlignment="1">
      <alignment vertical="center"/>
    </xf>
    <xf numFmtId="43" fontId="13" fillId="0" borderId="4" xfId="1" applyFont="1" applyBorder="1" applyAlignment="1">
      <alignment horizontal="center" vertical="center"/>
    </xf>
    <xf numFmtId="0" fontId="13" fillId="9" borderId="4" xfId="0" applyFont="1" applyFill="1" applyBorder="1" applyAlignment="1">
      <alignment vertical="center" wrapText="1"/>
    </xf>
    <xf numFmtId="0" fontId="16" fillId="7" borderId="4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left" vertical="center"/>
    </xf>
    <xf numFmtId="43" fontId="13" fillId="6" borderId="0" xfId="1" applyFont="1" applyFill="1" applyBorder="1" applyAlignment="1">
      <alignment horizontal="right" vertical="center"/>
    </xf>
    <xf numFmtId="43" fontId="13" fillId="6" borderId="0" xfId="1" applyFont="1" applyFill="1" applyBorder="1" applyAlignment="1">
      <alignment vertical="center"/>
    </xf>
    <xf numFmtId="0" fontId="25" fillId="6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11" fillId="3" borderId="15" xfId="2" applyNumberFormat="1" applyFont="1" applyFill="1" applyBorder="1" applyAlignment="1">
      <alignment horizontal="center" vertical="center" wrapText="1"/>
    </xf>
    <xf numFmtId="49" fontId="11" fillId="3" borderId="4" xfId="2" applyNumberFormat="1" applyFont="1" applyFill="1" applyBorder="1" applyAlignment="1">
      <alignment horizontal="center" vertical="center" wrapText="1"/>
    </xf>
    <xf numFmtId="49" fontId="26" fillId="9" borderId="4" xfId="0" applyNumberFormat="1" applyFont="1" applyFill="1" applyBorder="1" applyAlignment="1">
      <alignment horizontal="center" vertical="center"/>
    </xf>
    <xf numFmtId="49" fontId="32" fillId="3" borderId="4" xfId="2" applyNumberFormat="1" applyFont="1" applyFill="1" applyBorder="1" applyAlignment="1">
      <alignment horizontal="center" vertical="center" wrapText="1"/>
    </xf>
    <xf numFmtId="49" fontId="13" fillId="9" borderId="4" xfId="0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center" vertical="center"/>
    </xf>
    <xf numFmtId="43" fontId="28" fillId="4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center" vertical="center"/>
    </xf>
    <xf numFmtId="165" fontId="25" fillId="4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165" fontId="19" fillId="2" borderId="4" xfId="2" applyNumberFormat="1" applyFont="1" applyFill="1" applyBorder="1" applyAlignment="1">
      <alignment horizontal="center" vertical="center" wrapText="1"/>
    </xf>
    <xf numFmtId="0" fontId="16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33" fillId="6" borderId="0" xfId="0" applyFont="1" applyFill="1" applyAlignment="1">
      <alignment horizontal="center" vertical="center"/>
    </xf>
    <xf numFmtId="0" fontId="33" fillId="6" borderId="16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9" fillId="6" borderId="0" xfId="0" applyFont="1" applyFill="1" applyAlignment="1">
      <alignment horizontal="left" vertical="center"/>
    </xf>
    <xf numFmtId="14" fontId="15" fillId="6" borderId="0" xfId="0" applyNumberFormat="1" applyFont="1" applyFill="1" applyAlignment="1">
      <alignment horizontal="left" vertical="center"/>
    </xf>
    <xf numFmtId="0" fontId="28" fillId="6" borderId="0" xfId="0" applyFont="1" applyFill="1" applyAlignment="1">
      <alignment horizontal="left" vertical="center"/>
    </xf>
    <xf numFmtId="0" fontId="18" fillId="6" borderId="0" xfId="0" applyFont="1" applyFill="1" applyAlignment="1">
      <alignment horizontal="left" vertical="center"/>
    </xf>
    <xf numFmtId="0" fontId="30" fillId="6" borderId="0" xfId="0" applyFont="1" applyFill="1" applyAlignment="1">
      <alignment horizontal="left" vertical="center"/>
    </xf>
    <xf numFmtId="0" fontId="31" fillId="6" borderId="0" xfId="0" applyFont="1" applyFill="1" applyAlignment="1">
      <alignment horizontal="left" vertical="center"/>
    </xf>
    <xf numFmtId="49" fontId="26" fillId="6" borderId="0" xfId="0" applyNumberFormat="1" applyFont="1" applyFill="1" applyAlignment="1">
      <alignment horizontal="center" vertical="center"/>
    </xf>
    <xf numFmtId="0" fontId="34" fillId="9" borderId="4" xfId="0" applyFont="1" applyFill="1" applyBorder="1" applyAlignment="1">
      <alignment horizontal="center" vertical="center"/>
    </xf>
    <xf numFmtId="0" fontId="34" fillId="9" borderId="4" xfId="0" applyFont="1" applyFill="1" applyBorder="1" applyAlignment="1">
      <alignment horizontal="left" vertical="center" wrapText="1"/>
    </xf>
    <xf numFmtId="43" fontId="34" fillId="9" borderId="4" xfId="1" applyFont="1" applyFill="1" applyBorder="1" applyAlignment="1">
      <alignment horizontal="center" vertical="center"/>
    </xf>
    <xf numFmtId="43" fontId="34" fillId="0" borderId="4" xfId="1" applyFont="1" applyBorder="1" applyAlignment="1">
      <alignment vertical="center"/>
    </xf>
    <xf numFmtId="43" fontId="34" fillId="0" borderId="4" xfId="1" applyFont="1" applyBorder="1" applyAlignment="1">
      <alignment horizontal="center" vertical="center"/>
    </xf>
    <xf numFmtId="49" fontId="34" fillId="9" borderId="4" xfId="0" applyNumberFormat="1" applyFont="1" applyFill="1" applyBorder="1" applyAlignment="1">
      <alignment horizontal="center" vertical="center"/>
    </xf>
    <xf numFmtId="0" fontId="35" fillId="9" borderId="4" xfId="0" applyFont="1" applyFill="1" applyBorder="1" applyAlignment="1">
      <alignment horizontal="right" vertical="center"/>
    </xf>
    <xf numFmtId="43" fontId="34" fillId="0" borderId="4" xfId="1" applyFont="1" applyBorder="1" applyAlignment="1">
      <alignment horizontal="right" vertical="center" wrapText="1"/>
    </xf>
    <xf numFmtId="49" fontId="34" fillId="9" borderId="4" xfId="0" applyNumberFormat="1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left" vertical="center" wrapText="1"/>
    </xf>
    <xf numFmtId="43" fontId="11" fillId="3" borderId="4" xfId="2" applyNumberFormat="1" applyFont="1" applyFill="1" applyBorder="1" applyAlignment="1">
      <alignment horizontal="center" vertical="center" wrapText="1"/>
    </xf>
    <xf numFmtId="165" fontId="11" fillId="3" borderId="4" xfId="2" applyNumberFormat="1" applyFont="1" applyFill="1" applyBorder="1" applyAlignment="1">
      <alignment horizontal="center" vertical="center" wrapText="1"/>
    </xf>
    <xf numFmtId="0" fontId="11" fillId="3" borderId="21" xfId="2" applyFont="1" applyFill="1" applyBorder="1" applyAlignment="1">
      <alignment horizontal="center" vertical="center" wrapText="1"/>
    </xf>
    <xf numFmtId="0" fontId="11" fillId="3" borderId="20" xfId="2" applyFont="1" applyFill="1" applyBorder="1" applyAlignment="1">
      <alignment horizontal="left" vertical="center" wrapText="1"/>
    </xf>
    <xf numFmtId="43" fontId="11" fillId="3" borderId="15" xfId="2" applyNumberFormat="1" applyFont="1" applyFill="1" applyBorder="1" applyAlignment="1">
      <alignment horizontal="center" vertical="center" wrapText="1"/>
    </xf>
    <xf numFmtId="0" fontId="11" fillId="3" borderId="15" xfId="2" applyFont="1" applyFill="1" applyBorder="1" applyAlignment="1">
      <alignment horizontal="center" vertical="center" wrapText="1"/>
    </xf>
    <xf numFmtId="165" fontId="11" fillId="3" borderId="15" xfId="2" applyNumberFormat="1" applyFont="1" applyFill="1" applyBorder="1" applyAlignment="1">
      <alignment horizontal="center" vertical="center" wrapText="1"/>
    </xf>
    <xf numFmtId="0" fontId="11" fillId="5" borderId="4" xfId="2" applyFont="1" applyFill="1" applyBorder="1" applyAlignment="1">
      <alignment horizontal="center" vertical="center" wrapText="1"/>
    </xf>
    <xf numFmtId="0" fontId="11" fillId="5" borderId="4" xfId="2" applyFont="1" applyFill="1" applyBorder="1" applyAlignment="1">
      <alignment horizontal="left" vertical="center" wrapText="1"/>
    </xf>
    <xf numFmtId="43" fontId="11" fillId="5" borderId="4" xfId="2" applyNumberFormat="1" applyFont="1" applyFill="1" applyBorder="1" applyAlignment="1">
      <alignment horizontal="center" vertical="center" wrapText="1"/>
    </xf>
    <xf numFmtId="165" fontId="11" fillId="5" borderId="4" xfId="2" applyNumberFormat="1" applyFont="1" applyFill="1" applyBorder="1" applyAlignment="1">
      <alignment horizontal="center" vertical="center" wrapText="1"/>
    </xf>
    <xf numFmtId="49" fontId="11" fillId="5" borderId="4" xfId="2" applyNumberFormat="1" applyFont="1" applyFill="1" applyBorder="1" applyAlignment="1">
      <alignment horizontal="center" vertical="center" wrapText="1"/>
    </xf>
    <xf numFmtId="43" fontId="34" fillId="6" borderId="4" xfId="1" applyFont="1" applyFill="1" applyBorder="1" applyAlignment="1">
      <alignment vertical="center"/>
    </xf>
    <xf numFmtId="43" fontId="34" fillId="6" borderId="4" xfId="1" applyFont="1" applyFill="1" applyBorder="1" applyAlignment="1">
      <alignment horizontal="center" vertical="center"/>
    </xf>
    <xf numFmtId="49" fontId="36" fillId="9" borderId="4" xfId="0" applyNumberFormat="1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 wrapText="1"/>
    </xf>
    <xf numFmtId="43" fontId="37" fillId="6" borderId="4" xfId="1" applyFont="1" applyFill="1" applyBorder="1" applyAlignment="1" applyProtection="1">
      <alignment vertical="center"/>
    </xf>
    <xf numFmtId="43" fontId="14" fillId="5" borderId="4" xfId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left" vertical="center" wrapText="1"/>
    </xf>
    <xf numFmtId="43" fontId="38" fillId="5" borderId="4" xfId="1" applyFont="1" applyFill="1" applyBorder="1" applyAlignment="1">
      <alignment vertical="center"/>
    </xf>
    <xf numFmtId="43" fontId="38" fillId="5" borderId="4" xfId="1" applyFont="1" applyFill="1" applyBorder="1" applyAlignment="1">
      <alignment horizontal="center" vertical="center"/>
    </xf>
    <xf numFmtId="49" fontId="38" fillId="5" borderId="4" xfId="0" applyNumberFormat="1" applyFont="1" applyFill="1" applyBorder="1" applyAlignment="1">
      <alignment horizontal="center" vertical="center"/>
    </xf>
    <xf numFmtId="43" fontId="34" fillId="9" borderId="4" xfId="1" applyFont="1" applyFill="1" applyBorder="1" applyAlignment="1">
      <alignment horizontal="right" vertical="center"/>
    </xf>
    <xf numFmtId="43" fontId="34" fillId="6" borderId="4" xfId="1" applyFont="1" applyFill="1" applyBorder="1" applyAlignment="1">
      <alignment vertical="center" textRotation="90"/>
    </xf>
    <xf numFmtId="43" fontId="11" fillId="5" borderId="4" xfId="1" applyFont="1" applyFill="1" applyBorder="1" applyAlignment="1">
      <alignment horizontal="center" vertical="center"/>
    </xf>
    <xf numFmtId="43" fontId="11" fillId="5" borderId="4" xfId="1" applyFont="1" applyFill="1" applyBorder="1" applyAlignment="1">
      <alignment vertical="center"/>
    </xf>
    <xf numFmtId="49" fontId="11" fillId="5" borderId="4" xfId="0" applyNumberFormat="1" applyFont="1" applyFill="1" applyBorder="1" applyAlignment="1">
      <alignment horizontal="center" vertical="center"/>
    </xf>
    <xf numFmtId="168" fontId="34" fillId="9" borderId="4" xfId="1" applyNumberFormat="1" applyFont="1" applyFill="1" applyBorder="1" applyAlignment="1">
      <alignment horizontal="center" vertical="center"/>
    </xf>
    <xf numFmtId="43" fontId="34" fillId="5" borderId="4" xfId="1" applyFont="1" applyFill="1" applyBorder="1" applyAlignment="1">
      <alignment horizontal="center" vertical="center"/>
    </xf>
    <xf numFmtId="0" fontId="34" fillId="9" borderId="4" xfId="0" applyFont="1" applyFill="1" applyBorder="1" applyAlignment="1">
      <alignment vertical="center" wrapText="1"/>
    </xf>
    <xf numFmtId="43" fontId="34" fillId="9" borderId="4" xfId="49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vertical="center" wrapText="1"/>
    </xf>
    <xf numFmtId="43" fontId="34" fillId="0" borderId="4" xfId="0" applyNumberFormat="1" applyFont="1" applyBorder="1" applyAlignment="1">
      <alignment horizontal="center" vertical="center"/>
    </xf>
    <xf numFmtId="43" fontId="14" fillId="5" borderId="4" xfId="5" applyFont="1" applyFill="1" applyBorder="1" applyAlignment="1">
      <alignment horizontal="center" vertical="center"/>
    </xf>
    <xf numFmtId="2" fontId="11" fillId="5" borderId="4" xfId="5" applyNumberFormat="1" applyFont="1" applyFill="1" applyBorder="1" applyAlignment="1">
      <alignment horizontal="center" vertical="center"/>
    </xf>
    <xf numFmtId="43" fontId="14" fillId="5" borderId="4" xfId="1" applyFont="1" applyFill="1" applyBorder="1" applyAlignment="1">
      <alignment vertical="center"/>
    </xf>
    <xf numFmtId="49" fontId="14" fillId="5" borderId="4" xfId="0" applyNumberFormat="1" applyFont="1" applyFill="1" applyBorder="1" applyAlignment="1">
      <alignment horizontal="center" vertical="center"/>
    </xf>
    <xf numFmtId="0" fontId="34" fillId="9" borderId="4" xfId="2" applyFont="1" applyFill="1" applyBorder="1" applyAlignment="1">
      <alignment horizontal="center" vertical="center" wrapText="1"/>
    </xf>
    <xf numFmtId="43" fontId="34" fillId="9" borderId="4" xfId="2" applyNumberFormat="1" applyFont="1" applyFill="1" applyBorder="1" applyAlignment="1">
      <alignment horizontal="left" vertical="center" wrapText="1"/>
    </xf>
    <xf numFmtId="43" fontId="34" fillId="9" borderId="4" xfId="2" applyNumberFormat="1" applyFont="1" applyFill="1" applyBorder="1" applyAlignment="1">
      <alignment horizontal="center" vertical="center" wrapText="1"/>
    </xf>
    <xf numFmtId="2" fontId="34" fillId="9" borderId="4" xfId="2" applyNumberFormat="1" applyFont="1" applyFill="1" applyBorder="1" applyAlignment="1">
      <alignment horizontal="right" vertical="center" wrapText="1"/>
    </xf>
    <xf numFmtId="2" fontId="14" fillId="5" borderId="4" xfId="2" applyNumberFormat="1" applyFont="1" applyFill="1" applyBorder="1" applyAlignment="1">
      <alignment horizontal="right" vertical="center" wrapText="1"/>
    </xf>
    <xf numFmtId="43" fontId="34" fillId="9" borderId="4" xfId="5" applyFont="1" applyFill="1" applyBorder="1" applyAlignment="1">
      <alignment horizontal="center" vertical="center"/>
    </xf>
    <xf numFmtId="43" fontId="34" fillId="0" borderId="4" xfId="1" applyFont="1" applyBorder="1" applyAlignment="1">
      <alignment horizontal="left" vertical="center"/>
    </xf>
    <xf numFmtId="49" fontId="34" fillId="9" borderId="3" xfId="0" applyNumberFormat="1" applyFont="1" applyFill="1" applyBorder="1" applyAlignment="1">
      <alignment horizontal="center" vertical="center"/>
    </xf>
    <xf numFmtId="43" fontId="14" fillId="5" borderId="4" xfId="1" applyFont="1" applyFill="1" applyBorder="1" applyAlignment="1">
      <alignment horizontal="right" vertical="center"/>
    </xf>
    <xf numFmtId="43" fontId="11" fillId="5" borderId="4" xfId="5" applyFont="1" applyFill="1" applyBorder="1" applyAlignment="1">
      <alignment horizontal="center" vertical="center"/>
    </xf>
    <xf numFmtId="43" fontId="34" fillId="0" borderId="4" xfId="1" applyFont="1" applyFill="1" applyBorder="1" applyAlignment="1">
      <alignment vertical="center"/>
    </xf>
    <xf numFmtId="43" fontId="34" fillId="0" borderId="4" xfId="1" applyFont="1" applyFill="1" applyBorder="1" applyAlignment="1">
      <alignment horizontal="center" vertical="center"/>
    </xf>
    <xf numFmtId="43" fontId="34" fillId="9" borderId="4" xfId="40" applyFont="1" applyFill="1" applyBorder="1" applyAlignment="1">
      <alignment horizontal="center" vertical="center"/>
    </xf>
    <xf numFmtId="43" fontId="37" fillId="6" borderId="4" xfId="40" applyFont="1" applyFill="1" applyBorder="1" applyAlignment="1" applyProtection="1">
      <alignment vertical="center"/>
    </xf>
    <xf numFmtId="43" fontId="34" fillId="0" borderId="4" xfId="40" applyFont="1" applyBorder="1" applyAlignment="1">
      <alignment vertical="center"/>
    </xf>
    <xf numFmtId="43" fontId="34" fillId="0" borderId="4" xfId="40" applyFont="1" applyBorder="1" applyAlignment="1">
      <alignment horizontal="center" vertical="center"/>
    </xf>
    <xf numFmtId="43" fontId="38" fillId="9" borderId="4" xfId="1" applyFont="1" applyFill="1" applyBorder="1" applyAlignment="1">
      <alignment horizontal="center" vertical="center"/>
    </xf>
    <xf numFmtId="43" fontId="38" fillId="0" borderId="4" xfId="1" applyFont="1" applyFill="1" applyBorder="1" applyAlignment="1">
      <alignment vertical="center"/>
    </xf>
    <xf numFmtId="43" fontId="38" fillId="0" borderId="4" xfId="1" applyFont="1" applyFill="1" applyBorder="1" applyAlignment="1">
      <alignment horizontal="center" vertical="center"/>
    </xf>
    <xf numFmtId="49" fontId="34" fillId="9" borderId="4" xfId="1" applyNumberFormat="1" applyFont="1" applyFill="1" applyBorder="1" applyAlignment="1">
      <alignment horizontal="center" vertical="center"/>
    </xf>
    <xf numFmtId="165" fontId="11" fillId="3" borderId="3" xfId="2" applyNumberFormat="1" applyFont="1" applyFill="1" applyBorder="1" applyAlignment="1">
      <alignment horizontal="center" vertical="center" wrapText="1"/>
    </xf>
    <xf numFmtId="49" fontId="11" fillId="3" borderId="3" xfId="2" applyNumberFormat="1" applyFont="1" applyFill="1" applyBorder="1" applyAlignment="1">
      <alignment horizontal="center" vertical="center" wrapText="1"/>
    </xf>
    <xf numFmtId="43" fontId="34" fillId="6" borderId="3" xfId="1" applyFont="1" applyFill="1" applyBorder="1" applyAlignment="1">
      <alignment vertical="center"/>
    </xf>
    <xf numFmtId="43" fontId="34" fillId="6" borderId="4" xfId="1" applyFont="1" applyFill="1" applyBorder="1" applyAlignment="1">
      <alignment horizontal="right" vertical="center"/>
    </xf>
    <xf numFmtId="43" fontId="36" fillId="6" borderId="4" xfId="1" applyFont="1" applyFill="1" applyBorder="1" applyAlignment="1" applyProtection="1">
      <alignment vertical="center"/>
    </xf>
    <xf numFmtId="0" fontId="23" fillId="0" borderId="4" xfId="0" applyFont="1" applyBorder="1" applyAlignment="1">
      <alignment horizontal="left" vertical="center"/>
    </xf>
    <xf numFmtId="43" fontId="36" fillId="6" borderId="4" xfId="1" applyFont="1" applyFill="1" applyBorder="1" applyAlignment="1" applyProtection="1">
      <alignment horizontal="center" vertical="center"/>
    </xf>
    <xf numFmtId="49" fontId="36" fillId="9" borderId="3" xfId="0" applyNumberFormat="1" applyFont="1" applyFill="1" applyBorder="1" applyAlignment="1">
      <alignment horizontal="center" vertical="center"/>
    </xf>
    <xf numFmtId="43" fontId="39" fillId="6" borderId="4" xfId="1" applyFont="1" applyFill="1" applyBorder="1" applyAlignment="1" applyProtection="1">
      <alignment vertical="center"/>
    </xf>
    <xf numFmtId="43" fontId="39" fillId="6" borderId="4" xfId="1" applyFont="1" applyFill="1" applyBorder="1" applyAlignment="1" applyProtection="1">
      <alignment horizontal="center" vertical="center"/>
    </xf>
    <xf numFmtId="49" fontId="39" fillId="9" borderId="4" xfId="0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horizontal="center" vertical="center" wrapText="1"/>
    </xf>
    <xf numFmtId="167" fontId="11" fillId="5" borderId="4" xfId="2" applyNumberFormat="1" applyFont="1" applyFill="1" applyBorder="1" applyAlignment="1">
      <alignment horizontal="center" vertical="center" wrapText="1"/>
    </xf>
    <xf numFmtId="167" fontId="39" fillId="6" borderId="4" xfId="1" applyNumberFormat="1" applyFont="1" applyFill="1" applyBorder="1" applyAlignment="1" applyProtection="1">
      <alignment vertical="center"/>
    </xf>
    <xf numFmtId="167" fontId="34" fillId="6" borderId="4" xfId="1" applyNumberFormat="1" applyFont="1" applyFill="1" applyBorder="1" applyAlignment="1">
      <alignment vertical="center"/>
    </xf>
    <xf numFmtId="43" fontId="34" fillId="9" borderId="4" xfId="1" applyFont="1" applyFill="1" applyBorder="1" applyAlignment="1">
      <alignment vertical="center"/>
    </xf>
    <xf numFmtId="0" fontId="36" fillId="8" borderId="4" xfId="0" applyFont="1" applyFill="1" applyBorder="1" applyAlignment="1">
      <alignment horizontal="center" vertical="center"/>
    </xf>
    <xf numFmtId="0" fontId="36" fillId="8" borderId="4" xfId="0" applyFont="1" applyFill="1" applyBorder="1" applyAlignment="1">
      <alignment vertical="center" wrapText="1"/>
    </xf>
    <xf numFmtId="43" fontId="36" fillId="8" borderId="4" xfId="1" applyFont="1" applyFill="1" applyBorder="1" applyAlignment="1" applyProtection="1">
      <alignment horizontal="center" vertical="center"/>
    </xf>
    <xf numFmtId="43" fontId="36" fillId="8" borderId="4" xfId="1" applyFont="1" applyFill="1" applyBorder="1" applyAlignment="1" applyProtection="1">
      <alignment horizontal="center" vertical="center" wrapText="1"/>
    </xf>
    <xf numFmtId="0" fontId="38" fillId="9" borderId="4" xfId="0" applyFont="1" applyFill="1" applyBorder="1" applyAlignment="1">
      <alignment horizontal="left" vertical="center" wrapText="1"/>
    </xf>
    <xf numFmtId="0" fontId="38" fillId="9" borderId="4" xfId="0" applyFont="1" applyFill="1" applyBorder="1" applyAlignment="1">
      <alignment horizontal="center" vertical="center"/>
    </xf>
    <xf numFmtId="0" fontId="24" fillId="7" borderId="4" xfId="0" applyFont="1" applyFill="1" applyBorder="1" applyAlignment="1">
      <alignment horizontal="center" vertical="center"/>
    </xf>
    <xf numFmtId="4" fontId="24" fillId="7" borderId="4" xfId="0" applyNumberFormat="1" applyFont="1" applyFill="1" applyBorder="1" applyAlignment="1">
      <alignment horizontal="center" vertical="center"/>
    </xf>
    <xf numFmtId="0" fontId="34" fillId="9" borderId="3" xfId="0" quotePrefix="1" applyFont="1" applyFill="1" applyBorder="1" applyAlignment="1">
      <alignment horizontal="left" vertical="center" wrapText="1"/>
    </xf>
    <xf numFmtId="0" fontId="34" fillId="9" borderId="1" xfId="0" quotePrefix="1" applyFont="1" applyFill="1" applyBorder="1" applyAlignment="1">
      <alignment horizontal="left" vertical="center" wrapText="1"/>
    </xf>
    <xf numFmtId="0" fontId="34" fillId="9" borderId="2" xfId="0" quotePrefix="1" applyFont="1" applyFill="1" applyBorder="1" applyAlignment="1">
      <alignment horizontal="left" vertical="center" wrapText="1"/>
    </xf>
    <xf numFmtId="0" fontId="38" fillId="9" borderId="4" xfId="0" applyFont="1" applyFill="1" applyBorder="1" applyAlignment="1">
      <alignment horizontal="left" vertical="center" wrapText="1"/>
    </xf>
    <xf numFmtId="43" fontId="34" fillId="0" borderId="3" xfId="1" applyFont="1" applyFill="1" applyBorder="1" applyAlignment="1">
      <alignment horizontal="center" vertical="center"/>
    </xf>
    <xf numFmtId="43" fontId="34" fillId="0" borderId="1" xfId="1" applyFont="1" applyFill="1" applyBorder="1" applyAlignment="1">
      <alignment horizontal="center" vertical="center"/>
    </xf>
    <xf numFmtId="43" fontId="34" fillId="0" borderId="2" xfId="1" applyFont="1" applyFill="1" applyBorder="1" applyAlignment="1">
      <alignment horizontal="center" vertical="center"/>
    </xf>
    <xf numFmtId="43" fontId="37" fillId="6" borderId="3" xfId="1" applyFont="1" applyFill="1" applyBorder="1" applyAlignment="1" applyProtection="1">
      <alignment horizontal="center" vertical="center"/>
    </xf>
    <xf numFmtId="43" fontId="37" fillId="6" borderId="1" xfId="1" applyFont="1" applyFill="1" applyBorder="1" applyAlignment="1" applyProtection="1">
      <alignment horizontal="center" vertical="center"/>
    </xf>
    <xf numFmtId="43" fontId="37" fillId="6" borderId="2" xfId="1" applyFont="1" applyFill="1" applyBorder="1" applyAlignment="1" applyProtection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8" fillId="9" borderId="4" xfId="0" quotePrefix="1" applyFont="1" applyFill="1" applyBorder="1" applyAlignment="1">
      <alignment horizontal="left" vertical="center" wrapText="1"/>
    </xf>
    <xf numFmtId="165" fontId="19" fillId="10" borderId="11" xfId="2" applyNumberFormat="1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1" fillId="6" borderId="20" xfId="2" applyFont="1" applyFill="1" applyBorder="1" applyAlignment="1">
      <alignment horizontal="left" vertical="center" wrapText="1"/>
    </xf>
    <xf numFmtId="0" fontId="11" fillId="6" borderId="18" xfId="2" applyFont="1" applyFill="1" applyBorder="1" applyAlignment="1">
      <alignment horizontal="left" vertical="center" wrapText="1"/>
    </xf>
    <xf numFmtId="0" fontId="11" fillId="6" borderId="19" xfId="2" applyFont="1" applyFill="1" applyBorder="1" applyAlignment="1">
      <alignment horizontal="left" vertical="center" wrapText="1"/>
    </xf>
    <xf numFmtId="0" fontId="11" fillId="0" borderId="23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1" fillId="3" borderId="25" xfId="2" applyFont="1" applyFill="1" applyBorder="1" applyAlignment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0" fontId="11" fillId="3" borderId="26" xfId="2" applyFont="1" applyFill="1" applyBorder="1" applyAlignment="1">
      <alignment horizontal="center" vertical="center" wrapText="1"/>
    </xf>
    <xf numFmtId="165" fontId="19" fillId="2" borderId="12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5" fontId="11" fillId="6" borderId="6" xfId="3" applyFont="1" applyFill="1" applyBorder="1" applyAlignment="1">
      <alignment horizontal="left" vertical="center"/>
    </xf>
    <xf numFmtId="165" fontId="11" fillId="6" borderId="7" xfId="3" applyFont="1" applyFill="1" applyBorder="1" applyAlignment="1">
      <alignment horizontal="left" vertical="center"/>
    </xf>
    <xf numFmtId="165" fontId="11" fillId="6" borderId="8" xfId="3" applyFont="1" applyFill="1" applyBorder="1" applyAlignment="1">
      <alignment horizontal="left" vertical="center"/>
    </xf>
    <xf numFmtId="0" fontId="11" fillId="2" borderId="10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9" fillId="2" borderId="11" xfId="2" applyFont="1" applyFill="1" applyBorder="1" applyAlignment="1">
      <alignment horizontal="center" vertical="center" wrapText="1"/>
    </xf>
    <xf numFmtId="0" fontId="19" fillId="2" borderId="15" xfId="2" applyFont="1" applyFill="1" applyBorder="1" applyAlignment="1">
      <alignment horizontal="center" vertical="center" wrapText="1"/>
    </xf>
    <xf numFmtId="4" fontId="19" fillId="2" borderId="11" xfId="2" applyNumberFormat="1" applyFont="1" applyFill="1" applyBorder="1" applyAlignment="1">
      <alignment horizontal="center" vertical="center" wrapText="1"/>
    </xf>
    <xf numFmtId="4" fontId="19" fillId="2" borderId="15" xfId="2" applyNumberFormat="1" applyFont="1" applyFill="1" applyBorder="1" applyAlignment="1">
      <alignment horizontal="center" vertical="center" wrapText="1"/>
    </xf>
    <xf numFmtId="165" fontId="19" fillId="2" borderId="13" xfId="2" applyNumberFormat="1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horizontal="center" vertical="center" wrapText="1"/>
    </xf>
    <xf numFmtId="43" fontId="38" fillId="0" borderId="3" xfId="1" applyFont="1" applyFill="1" applyBorder="1" applyAlignment="1">
      <alignment horizontal="center" vertical="center"/>
    </xf>
    <xf numFmtId="43" fontId="38" fillId="0" borderId="1" xfId="1" applyFont="1" applyFill="1" applyBorder="1" applyAlignment="1">
      <alignment horizontal="center" vertical="center"/>
    </xf>
    <xf numFmtId="43" fontId="38" fillId="0" borderId="2" xfId="1" applyFont="1" applyFill="1" applyBorder="1" applyAlignment="1">
      <alignment horizontal="center" vertical="center"/>
    </xf>
    <xf numFmtId="0" fontId="11" fillId="3" borderId="25" xfId="2" applyFont="1" applyFill="1" applyBorder="1" applyAlignment="1">
      <alignment horizontal="left" vertical="center" wrapText="1"/>
    </xf>
    <xf numFmtId="0" fontId="11" fillId="3" borderId="9" xfId="2" applyFont="1" applyFill="1" applyBorder="1" applyAlignment="1">
      <alignment horizontal="left" vertical="center" wrapText="1"/>
    </xf>
    <xf numFmtId="0" fontId="11" fillId="3" borderId="26" xfId="2" applyFont="1" applyFill="1" applyBorder="1" applyAlignment="1">
      <alignment horizontal="left" vertical="center" wrapText="1"/>
    </xf>
    <xf numFmtId="0" fontId="11" fillId="6" borderId="17" xfId="2" applyFont="1" applyFill="1" applyBorder="1" applyAlignment="1">
      <alignment horizontal="left" vertical="center" wrapText="1"/>
    </xf>
    <xf numFmtId="0" fontId="11" fillId="6" borderId="0" xfId="2" applyFont="1" applyFill="1" applyAlignment="1">
      <alignment horizontal="left" vertical="center" wrapText="1"/>
    </xf>
    <xf numFmtId="0" fontId="11" fillId="6" borderId="22" xfId="2" applyFont="1" applyFill="1" applyBorder="1" applyAlignment="1">
      <alignment horizontal="left" vertical="center" wrapText="1"/>
    </xf>
    <xf numFmtId="0" fontId="11" fillId="6" borderId="3" xfId="2" applyFont="1" applyFill="1" applyBorder="1" applyAlignment="1">
      <alignment horizontal="left" vertical="center" wrapText="1"/>
    </xf>
    <xf numFmtId="0" fontId="11" fillId="6" borderId="1" xfId="2" applyFont="1" applyFill="1" applyBorder="1" applyAlignment="1">
      <alignment horizontal="left" vertical="center" wrapText="1"/>
    </xf>
    <xf numFmtId="0" fontId="11" fillId="6" borderId="2" xfId="2" applyFont="1" applyFill="1" applyBorder="1" applyAlignment="1">
      <alignment horizontal="left" vertical="center" wrapText="1"/>
    </xf>
    <xf numFmtId="165" fontId="11" fillId="6" borderId="17" xfId="3" applyFont="1" applyFill="1" applyBorder="1" applyAlignment="1">
      <alignment horizontal="left" vertical="center"/>
    </xf>
    <xf numFmtId="165" fontId="11" fillId="6" borderId="0" xfId="3" applyFont="1" applyFill="1" applyBorder="1" applyAlignment="1">
      <alignment horizontal="left" vertical="center"/>
    </xf>
    <xf numFmtId="165" fontId="11" fillId="6" borderId="22" xfId="3" applyFont="1" applyFill="1" applyBorder="1" applyAlignment="1">
      <alignment horizontal="left" vertical="center"/>
    </xf>
    <xf numFmtId="165" fontId="11" fillId="6" borderId="6" xfId="2" applyNumberFormat="1" applyFont="1" applyFill="1" applyBorder="1" applyAlignment="1">
      <alignment horizontal="center" vertical="center"/>
    </xf>
    <xf numFmtId="165" fontId="11" fillId="6" borderId="7" xfId="2" applyNumberFormat="1" applyFont="1" applyFill="1" applyBorder="1" applyAlignment="1">
      <alignment horizontal="center" vertical="center"/>
    </xf>
    <xf numFmtId="165" fontId="11" fillId="6" borderId="8" xfId="2" applyNumberFormat="1" applyFont="1" applyFill="1" applyBorder="1" applyAlignment="1">
      <alignment horizontal="center" vertical="center"/>
    </xf>
    <xf numFmtId="14" fontId="11" fillId="6" borderId="6" xfId="2" applyNumberFormat="1" applyFont="1" applyFill="1" applyBorder="1" applyAlignment="1">
      <alignment horizontal="center" vertical="center"/>
    </xf>
    <xf numFmtId="14" fontId="11" fillId="6" borderId="7" xfId="2" applyNumberFormat="1" applyFont="1" applyFill="1" applyBorder="1" applyAlignment="1">
      <alignment horizontal="center" vertical="center"/>
    </xf>
    <xf numFmtId="165" fontId="11" fillId="6" borderId="15" xfId="3" applyFont="1" applyFill="1" applyBorder="1" applyAlignment="1">
      <alignment horizontal="center" vertical="center"/>
    </xf>
    <xf numFmtId="165" fontId="11" fillId="6" borderId="20" xfId="3" applyFont="1" applyFill="1" applyBorder="1" applyAlignment="1">
      <alignment horizontal="center" vertical="center"/>
    </xf>
    <xf numFmtId="0" fontId="11" fillId="6" borderId="5" xfId="2" applyFont="1" applyFill="1" applyBorder="1" applyAlignment="1">
      <alignment horizontal="left" vertical="center" wrapText="1"/>
    </xf>
  </cellXfs>
  <cellStyles count="219">
    <cellStyle name="Hiperlink 2" xfId="28" xr:uid="{00000000-0005-0000-0000-000000000000}"/>
    <cellStyle name="Hiperlink 2 2" xfId="29" xr:uid="{00000000-0005-0000-0000-000001000000}"/>
    <cellStyle name="Moeda 2" xfId="15" xr:uid="{00000000-0005-0000-0000-000002000000}"/>
    <cellStyle name="Moeda 2 2" xfId="18" xr:uid="{00000000-0005-0000-0000-000003000000}"/>
    <cellStyle name="Moeda 2 2 2" xfId="30" xr:uid="{00000000-0005-0000-0000-000004000000}"/>
    <cellStyle name="Moeda 2 2 2 2" xfId="59" xr:uid="{90A9BA53-15C4-4699-86CD-4DDD8CE03DB4}"/>
    <cellStyle name="Moeda 2 2 2 2 2" xfId="162" xr:uid="{AFC3B808-777B-4A7F-9C23-30C6A7EF4422}"/>
    <cellStyle name="Moeda 2 2 2 3" xfId="134" xr:uid="{369B43B6-FE83-414F-A1CB-9EBFE80BD7FC}"/>
    <cellStyle name="Moeda 2 2 3" xfId="81" xr:uid="{D29A8E65-174A-4614-9B63-61D85428F1A2}"/>
    <cellStyle name="Moeda 2 3" xfId="34" xr:uid="{00000000-0005-0000-0000-000005000000}"/>
    <cellStyle name="Moeda 2 3 2" xfId="62" xr:uid="{18885641-763B-4E0A-9579-B187722B54A0}"/>
    <cellStyle name="Moeda 2 3 2 2" xfId="165" xr:uid="{4BBF795C-4F7C-4258-954C-6A9ACB8EC6C3}"/>
    <cellStyle name="Moeda 2 3 3" xfId="137" xr:uid="{35522F53-83F0-4B21-9746-0198203E4EBB}"/>
    <cellStyle name="Moeda 2 4" xfId="53" xr:uid="{73B6B115-6178-4E9E-A783-05FC9EEF74FD}"/>
    <cellStyle name="Moeda 2 4 2" xfId="156" xr:uid="{DEB3E198-657A-4078-99CB-A86F1B48DF9E}"/>
    <cellStyle name="Moeda 2 5" xfId="128" xr:uid="{48A6F9FB-D498-43A0-9DCB-FBDDADA9244C}"/>
    <cellStyle name="Normal" xfId="0" builtinId="0"/>
    <cellStyle name="Normal 10 2" xfId="19" xr:uid="{00000000-0005-0000-0000-000007000000}"/>
    <cellStyle name="Normal 2" xfId="2" xr:uid="{00000000-0005-0000-0000-000008000000}"/>
    <cellStyle name="Normal 2 2" xfId="31" xr:uid="{00000000-0005-0000-0000-000009000000}"/>
    <cellStyle name="Normal 3" xfId="20" xr:uid="{00000000-0005-0000-0000-00000A000000}"/>
    <cellStyle name="Normal 3 2" xfId="27" xr:uid="{00000000-0005-0000-0000-00000B000000}"/>
    <cellStyle name="Normal 4" xfId="4" xr:uid="{00000000-0005-0000-0000-00000C000000}"/>
    <cellStyle name="Normal 4 2" xfId="7" xr:uid="{00000000-0005-0000-0000-00000D000000}"/>
    <cellStyle name="Normal 4 2 2" xfId="12" xr:uid="{00000000-0005-0000-0000-00000E000000}"/>
    <cellStyle name="Normal 4 2 2 2" xfId="51" xr:uid="{188770B0-1273-4E50-A7B1-2CD7D64E5C47}"/>
    <cellStyle name="Normal 4 2 2 2 2" xfId="103" xr:uid="{BFCA5F8B-8005-4C5E-AE87-79FD51DF0418}"/>
    <cellStyle name="Normal 4 2 2 2 2 2" xfId="205" xr:uid="{85831D2C-9AA4-4BC7-985B-D95279343E46}"/>
    <cellStyle name="Normal 4 2 2 2 3" xfId="154" xr:uid="{82502BF1-2AB1-4603-971A-C9A5F8BD216E}"/>
    <cellStyle name="Normal 4 2 2 3" xfId="77" xr:uid="{46F0C824-22D6-4121-ACBD-03B038FE8C7E}"/>
    <cellStyle name="Normal 4 2 2 3 2" xfId="180" xr:uid="{AC60F561-B84A-4B26-A1F1-913BB9A26B41}"/>
    <cellStyle name="Normal 4 2 2 4" xfId="126" xr:uid="{B5CCD232-D766-4E3C-8EFF-369C29CD5964}"/>
    <cellStyle name="Normal 4 2 3" xfId="46" xr:uid="{93524FC3-2DB5-4AC3-8355-724E0D561ADE}"/>
    <cellStyle name="Normal 4 2 3 2" xfId="98" xr:uid="{D7F919B5-1665-4977-838F-500D23A5AA4C}"/>
    <cellStyle name="Normal 4 2 3 2 2" xfId="200" xr:uid="{FCD4B6B3-2FF9-4D19-B2A2-3EE0B4D04094}"/>
    <cellStyle name="Normal 4 2 3 3" xfId="149" xr:uid="{AE5594EE-4A8B-4443-A175-56B04610954D}"/>
    <cellStyle name="Normal 4 2 4" xfId="72" xr:uid="{33AFED8E-F1E7-4327-A45A-4A464AB306CE}"/>
    <cellStyle name="Normal 4 2 4 2" xfId="175" xr:uid="{E55C20AD-91B0-4F1A-A337-FA93BE585BF8}"/>
    <cellStyle name="Normal 4 2 5" xfId="121" xr:uid="{A5CB06C6-188F-463B-AC89-343A6F27603D}"/>
    <cellStyle name="Normal 4 3" xfId="21" xr:uid="{00000000-0005-0000-0000-00000F000000}"/>
    <cellStyle name="Normal 4 4" xfId="9" xr:uid="{00000000-0005-0000-0000-000010000000}"/>
    <cellStyle name="Normal 4 4 2" xfId="48" xr:uid="{F10FD0B6-76F0-4EFE-9268-642582338FFD}"/>
    <cellStyle name="Normal 4 4 2 2" xfId="100" xr:uid="{51D2AB84-3D51-498D-BBB5-0647F81F4DAE}"/>
    <cellStyle name="Normal 4 4 2 2 2" xfId="202" xr:uid="{564EF867-96A0-4C04-ACCE-D3DC67A246F1}"/>
    <cellStyle name="Normal 4 4 2 3" xfId="151" xr:uid="{CF0660B9-100E-4F39-8F4D-0EF8152E9808}"/>
    <cellStyle name="Normal 4 4 3" xfId="74" xr:uid="{9A84EDFD-F0B1-42CC-9170-C14B22865528}"/>
    <cellStyle name="Normal 4 4 3 2" xfId="177" xr:uid="{ECFA4E66-4531-4248-8DF2-8580D3617365}"/>
    <cellStyle name="Normal 4 4 4" xfId="123" xr:uid="{7A16AF41-FC80-4EE7-A3B8-351E7FA2A2FF}"/>
    <cellStyle name="Normal 4 5" xfId="41" xr:uid="{2D124857-B5BB-41A8-965D-2435A8D8CF17}"/>
    <cellStyle name="Normal 4 5 2" xfId="93" xr:uid="{B7766184-FE6D-4256-95BC-8CA21B7443CE}"/>
    <cellStyle name="Normal 4 5 2 2" xfId="195" xr:uid="{4AC476D0-5AD3-427F-B9AB-396F066B536D}"/>
    <cellStyle name="Normal 4 5 3" xfId="144" xr:uid="{43C054CF-C384-45F1-BE85-82103D2992F3}"/>
    <cellStyle name="Normal 4 6" xfId="43" xr:uid="{55E9F537-6C87-431C-A606-4BE08FD26A13}"/>
    <cellStyle name="Normal 4 6 2" xfId="95" xr:uid="{04E81928-7C5B-4276-A72D-810F07F1EACE}"/>
    <cellStyle name="Normal 4 6 2 2" xfId="197" xr:uid="{F1DF7273-2C54-4246-AC70-B303D49F3013}"/>
    <cellStyle name="Normal 4 6 3" xfId="146" xr:uid="{089CC5A9-3271-4893-A346-3571CC77C898}"/>
    <cellStyle name="Normal 4 7" xfId="69" xr:uid="{6034FAB7-B994-4649-B014-E1118D10AA55}"/>
    <cellStyle name="Normal 4 7 2" xfId="172" xr:uid="{E19D6FF2-0CE3-4C3E-B55E-A9F59E0FBDF5}"/>
    <cellStyle name="Normal 4 8" xfId="118" xr:uid="{842FAA05-809D-4B36-9A25-1091C7ED2FDA}"/>
    <cellStyle name="Normal 5" xfId="17" xr:uid="{00000000-0005-0000-0000-000011000000}"/>
    <cellStyle name="Normal 5 2" xfId="36" xr:uid="{00000000-0005-0000-0000-000012000000}"/>
    <cellStyle name="Normal 5 2 2" xfId="64" xr:uid="{6015F007-8EC4-4474-9609-C1AB43183202}"/>
    <cellStyle name="Normal 5 2 2 2" xfId="113" xr:uid="{A175FEE1-3BC7-4BA7-9823-FCCB6AAFD8F9}"/>
    <cellStyle name="Normal 5 2 2 2 2" xfId="215" xr:uid="{5AB04544-FEE3-47AA-9593-C84D5358D889}"/>
    <cellStyle name="Normal 5 2 2 3" xfId="167" xr:uid="{5CE53643-1307-4E9D-A473-4D962E8E3AD0}"/>
    <cellStyle name="Normal 5 2 3" xfId="88" xr:uid="{2AB94274-9A8D-414A-AB2E-FED802790E12}"/>
    <cellStyle name="Normal 5 2 3 2" xfId="190" xr:uid="{F33C3B51-30FB-42E6-8231-43276A7B54FA}"/>
    <cellStyle name="Normal 5 2 4" xfId="139" xr:uid="{D28F13B6-FA48-4D05-90DB-B0E854D6DB57}"/>
    <cellStyle name="Normal 5 3" xfId="55" xr:uid="{D3FE4909-1881-464C-ACAB-9EB0E2F314A1}"/>
    <cellStyle name="Normal 5 3 2" xfId="106" xr:uid="{54FCF551-419E-4839-9695-6659130F8623}"/>
    <cellStyle name="Normal 5 3 2 2" xfId="208" xr:uid="{91680364-8142-486D-8BDF-8768143D483F}"/>
    <cellStyle name="Normal 5 3 3" xfId="158" xr:uid="{6930804B-8DEA-45D2-8733-28360D3063C0}"/>
    <cellStyle name="Normal 5 4" xfId="80" xr:uid="{CF4A1C76-EC74-4CB3-92AD-90BB345C15F6}"/>
    <cellStyle name="Normal 5 4 2" xfId="183" xr:uid="{B5E173C6-5CC9-48E5-82C7-CF1285F8FD46}"/>
    <cellStyle name="Normal 5 5" xfId="130" xr:uid="{D9ED2226-78ED-4005-89F3-33D0FCFDC434}"/>
    <cellStyle name="Normal 6" xfId="22" xr:uid="{00000000-0005-0000-0000-000013000000}"/>
    <cellStyle name="Normal 6 2" xfId="37" xr:uid="{00000000-0005-0000-0000-000014000000}"/>
    <cellStyle name="Normal 6 2 2" xfId="65" xr:uid="{8A575938-4981-490F-9A7B-7C77C7AC97D5}"/>
    <cellStyle name="Normal 6 2 2 2" xfId="114" xr:uid="{C874254C-260C-4E6D-B9CA-B779604FE045}"/>
    <cellStyle name="Normal 6 2 2 2 2" xfId="216" xr:uid="{CA79AE5B-77B1-47DB-9FB4-B333BACE5AA2}"/>
    <cellStyle name="Normal 6 2 2 3" xfId="168" xr:uid="{C0E40E80-C9DB-4512-B05B-554A1921196E}"/>
    <cellStyle name="Normal 6 2 3" xfId="89" xr:uid="{925444FD-278C-48DF-95E7-7037EB98EC77}"/>
    <cellStyle name="Normal 6 2 3 2" xfId="191" xr:uid="{D79B4808-A0A3-4670-8C39-3B04A6A09B6F}"/>
    <cellStyle name="Normal 6 2 4" xfId="140" xr:uid="{7AAED159-0FAD-4461-9F72-BBC109141E66}"/>
    <cellStyle name="Normal 6 3" xfId="56" xr:uid="{B4AE27E5-0266-4C4E-BF95-36F59D46AEF7}"/>
    <cellStyle name="Normal 6 3 2" xfId="107" xr:uid="{F2AF049A-816E-4630-8D55-2CB323EA43FA}"/>
    <cellStyle name="Normal 6 3 2 2" xfId="209" xr:uid="{6DBD2F38-1AAA-40F2-8C4C-788DF3A1B65E}"/>
    <cellStyle name="Normal 6 3 3" xfId="159" xr:uid="{0CCA5E06-3315-4486-A868-CCB9FCBE6253}"/>
    <cellStyle name="Normal 6 4" xfId="82" xr:uid="{D89ED79D-44DC-479E-894B-C2AC95C019F0}"/>
    <cellStyle name="Normal 6 4 2" xfId="184" xr:uid="{CF00A168-F02E-4AF6-90A2-683459607918}"/>
    <cellStyle name="Normal 6 5" xfId="131" xr:uid="{F9E93296-1CFE-4840-AEC5-9ABF034DA5E3}"/>
    <cellStyle name="Normal 7" xfId="23" xr:uid="{00000000-0005-0000-0000-000015000000}"/>
    <cellStyle name="Normal 7 2" xfId="38" xr:uid="{00000000-0005-0000-0000-000016000000}"/>
    <cellStyle name="Normal 7 2 2" xfId="66" xr:uid="{D3B9777A-1EA2-49DC-9300-95EAEA4E139D}"/>
    <cellStyle name="Normal 7 2 2 2" xfId="115" xr:uid="{E9A8232A-952E-48BC-ACB8-C5187670788C}"/>
    <cellStyle name="Normal 7 2 2 2 2" xfId="217" xr:uid="{3F3F6A2D-E518-4625-ACB5-F3BEC55A1D77}"/>
    <cellStyle name="Normal 7 2 2 3" xfId="169" xr:uid="{FA2468B0-F9CB-46F2-B242-E9BE4D9FE21A}"/>
    <cellStyle name="Normal 7 2 3" xfId="90" xr:uid="{47288616-703F-457B-B1BB-671355A30194}"/>
    <cellStyle name="Normal 7 2 3 2" xfId="192" xr:uid="{D49419B0-83D4-4D7D-8752-4E874EA06CE9}"/>
    <cellStyle name="Normal 7 2 4" xfId="141" xr:uid="{12414E1D-F0D4-4446-B992-07226E4C4E66}"/>
    <cellStyle name="Normal 7 3" xfId="57" xr:uid="{A86D3EF6-A052-4B6C-B86B-DC0E411CC86C}"/>
    <cellStyle name="Normal 7 3 2" xfId="108" xr:uid="{7DE17693-DE98-4007-BB34-9C124262B171}"/>
    <cellStyle name="Normal 7 3 2 2" xfId="210" xr:uid="{A0103AAF-1E4D-4E68-9609-8F3626FC83D9}"/>
    <cellStyle name="Normal 7 3 3" xfId="160" xr:uid="{6EF6F7D2-7A5D-441C-B060-745EAEDC4890}"/>
    <cellStyle name="Normal 7 4" xfId="83" xr:uid="{DC43F56B-4331-449A-B2BD-ABAF67C39B38}"/>
    <cellStyle name="Normal 7 4 2" xfId="185" xr:uid="{08B6F664-9788-4626-91C5-FA2CF8D4C273}"/>
    <cellStyle name="Normal 7 5" xfId="132" xr:uid="{A97D1246-C774-4739-9E4C-72B6A0140DCA}"/>
    <cellStyle name="Normal 8" xfId="24" xr:uid="{00000000-0005-0000-0000-000017000000}"/>
    <cellStyle name="Normal 9" xfId="13" xr:uid="{00000000-0005-0000-0000-000018000000}"/>
    <cellStyle name="Separador de milhares 2" xfId="3" xr:uid="{00000000-0005-0000-0000-000019000000}"/>
    <cellStyle name="Separador de milhares 2 2" xfId="6" xr:uid="{00000000-0005-0000-0000-00001A000000}"/>
    <cellStyle name="Separador de milhares 2 2 2" xfId="25" xr:uid="{00000000-0005-0000-0000-00001B000000}"/>
    <cellStyle name="Separador de milhares 2 2 2 2" xfId="39" xr:uid="{00000000-0005-0000-0000-00001C000000}"/>
    <cellStyle name="Separador de milhares 2 2 2 2 2" xfId="67" xr:uid="{2D9A4704-2585-4AF9-BBDF-CC5F6E04611A}"/>
    <cellStyle name="Separador de milhares 2 2 2 2 2 2" xfId="116" xr:uid="{8400B94B-D4FE-4BBD-9000-637AEAF263C7}"/>
    <cellStyle name="Separador de milhares 2 2 2 2 2 2 2" xfId="218" xr:uid="{34659E5B-7725-4382-84E1-334A3CDBF900}"/>
    <cellStyle name="Separador de milhares 2 2 2 2 2 3" xfId="170" xr:uid="{605ECB19-F4D1-464F-B431-C4B8147F1387}"/>
    <cellStyle name="Separador de milhares 2 2 2 2 3" xfId="91" xr:uid="{205E90CC-E04B-4B6D-9C35-E8FC25E97AF7}"/>
    <cellStyle name="Separador de milhares 2 2 2 2 3 2" xfId="193" xr:uid="{9B60DFC6-7EB3-4AC7-9B31-CB8E1F9621CE}"/>
    <cellStyle name="Separador de milhares 2 2 2 2 4" xfId="142" xr:uid="{7D9F1E8B-9C74-4994-A651-006A8EA835C9}"/>
    <cellStyle name="Separador de milhares 2 2 2 3" xfId="58" xr:uid="{9FFCFCF6-5CE1-4A23-BA56-580140913785}"/>
    <cellStyle name="Separador de milhares 2 2 2 3 2" xfId="109" xr:uid="{36123F89-517B-4A09-9020-5C453A38C283}"/>
    <cellStyle name="Separador de milhares 2 2 2 3 2 2" xfId="211" xr:uid="{E51E607D-9100-49C4-9EE2-BF41F23DD0B0}"/>
    <cellStyle name="Separador de milhares 2 2 2 3 3" xfId="161" xr:uid="{44F45414-6C6A-448F-A499-5004600CE646}"/>
    <cellStyle name="Separador de milhares 2 2 2 4" xfId="84" xr:uid="{7A5984E1-B77D-4727-9625-B45392513EE9}"/>
    <cellStyle name="Separador de milhares 2 2 2 4 2" xfId="186" xr:uid="{D01F00C9-8CA2-4433-A202-EF6665AD7048}"/>
    <cellStyle name="Separador de milhares 2 2 2 5" xfId="133" xr:uid="{A5C98F5A-06E3-4CD0-BB3C-2C7BB63E63A2}"/>
    <cellStyle name="Separador de milhares 2 2 3" xfId="11" xr:uid="{00000000-0005-0000-0000-00001D000000}"/>
    <cellStyle name="Separador de milhares 2 2 3 2" xfId="50" xr:uid="{3E8F3B3D-FB21-4F68-A6D6-9009175FECD6}"/>
    <cellStyle name="Separador de milhares 2 2 3 2 2" xfId="102" xr:uid="{9333E711-6F80-4442-9794-75CBE71CBD3E}"/>
    <cellStyle name="Separador de milhares 2 2 3 2 2 2" xfId="204" xr:uid="{8903E4D9-4FC7-4359-A39E-C4FCB5736F7A}"/>
    <cellStyle name="Separador de milhares 2 2 3 2 3" xfId="153" xr:uid="{4CE51A5A-E3A9-4766-8E4A-F69308EE2C09}"/>
    <cellStyle name="Separador de milhares 2 2 3 3" xfId="76" xr:uid="{E7627A46-31EE-4235-864C-F4BD43566257}"/>
    <cellStyle name="Separador de milhares 2 2 3 3 2" xfId="179" xr:uid="{08566B6F-650F-4742-AA82-2E4B6FFECA18}"/>
    <cellStyle name="Separador de milhares 2 2 3 4" xfId="125" xr:uid="{98099DE1-6F59-422A-A9C2-B52D5C891623}"/>
    <cellStyle name="Separador de milhares 2 2 4" xfId="45" xr:uid="{AFB64E2C-D903-4BAA-B73A-92ADDBA7DC99}"/>
    <cellStyle name="Separador de milhares 2 2 4 2" xfId="97" xr:uid="{D8D1E665-90D7-4D3C-8735-1C78DF2EBF35}"/>
    <cellStyle name="Separador de milhares 2 2 4 2 2" xfId="199" xr:uid="{5403DA95-E9D8-4E28-8412-7BF68B1DB574}"/>
    <cellStyle name="Separador de milhares 2 2 4 3" xfId="148" xr:uid="{B11E994E-BDB0-4A58-9968-9E58DD456E8D}"/>
    <cellStyle name="Separador de milhares 2 2 5" xfId="71" xr:uid="{1A6D3FE5-48AD-4EFE-8047-42ED9E72D49D}"/>
    <cellStyle name="Separador de milhares 2 2 5 2" xfId="174" xr:uid="{45B0541E-C799-446B-8B37-DCFCAFB40C65}"/>
    <cellStyle name="Separador de milhares 2 2 6" xfId="120" xr:uid="{E426AC09-86DA-4328-B4A4-92EFA51226DF}"/>
    <cellStyle name="Separador de milhares 4" xfId="26" xr:uid="{00000000-0005-0000-0000-00001E000000}"/>
    <cellStyle name="Vírgula" xfId="1" builtinId="3"/>
    <cellStyle name="Vírgula 2" xfId="5" xr:uid="{00000000-0005-0000-0000-000020000000}"/>
    <cellStyle name="Vírgula 2 2" xfId="32" xr:uid="{00000000-0005-0000-0000-000021000000}"/>
    <cellStyle name="Vírgula 2 2 2" xfId="60" xr:uid="{01FD95EC-D3C8-4395-B185-CE2D5C5AE4DD}"/>
    <cellStyle name="Vírgula 2 2 2 2" xfId="110" xr:uid="{11B80DF0-1115-4D9A-929B-D749776BB61D}"/>
    <cellStyle name="Vírgula 2 2 2 2 2" xfId="212" xr:uid="{82EB4C87-EE38-4868-9DF5-74641AAFC284}"/>
    <cellStyle name="Vírgula 2 2 2 3" xfId="163" xr:uid="{E3424444-1A5C-4036-9BF5-42F4A80BDAEA}"/>
    <cellStyle name="Vírgula 2 2 3" xfId="85" xr:uid="{347CAB95-725F-41BF-A999-078B44561843}"/>
    <cellStyle name="Vírgula 2 2 3 2" xfId="187" xr:uid="{5D811E96-1A14-42EF-9307-823DF9DD3575}"/>
    <cellStyle name="Vírgula 2 2 4" xfId="135" xr:uid="{FB0A0D8D-68E2-4020-8A99-90CC25D3197F}"/>
    <cellStyle name="Vírgula 2 3" xfId="35" xr:uid="{00000000-0005-0000-0000-000022000000}"/>
    <cellStyle name="Vírgula 2 3 2" xfId="63" xr:uid="{2A0C897D-435E-4368-BE04-1FAB05F4AF3C}"/>
    <cellStyle name="Vírgula 2 3 2 2" xfId="112" xr:uid="{CD323087-3BEA-4179-9525-A3ED84A3AB5C}"/>
    <cellStyle name="Vírgula 2 3 2 2 2" xfId="214" xr:uid="{0D0CC049-C8F8-4566-9C3A-279C9F0C4AF5}"/>
    <cellStyle name="Vírgula 2 3 2 3" xfId="166" xr:uid="{AF044CE5-5D81-4FA3-B053-0112019938F0}"/>
    <cellStyle name="Vírgula 2 3 3" xfId="87" xr:uid="{B170B7D9-E7F7-45D3-9ED9-D2B79AE6BCA5}"/>
    <cellStyle name="Vírgula 2 3 3 2" xfId="189" xr:uid="{C65FC0F0-9FC9-4989-9414-C0C341429A47}"/>
    <cellStyle name="Vírgula 2 3 4" xfId="138" xr:uid="{D2E27E19-DF82-40F8-94B1-186B15EE7E0E}"/>
    <cellStyle name="Vírgula 2 4" xfId="16" xr:uid="{00000000-0005-0000-0000-000023000000}"/>
    <cellStyle name="Vírgula 2 4 2" xfId="54" xr:uid="{B5DE8B4E-9FAD-41BE-96FA-33A833332BF0}"/>
    <cellStyle name="Vírgula 2 4 2 2" xfId="105" xr:uid="{FD2E5525-3D56-4942-A25B-B8540BA0D326}"/>
    <cellStyle name="Vírgula 2 4 2 2 2" xfId="207" xr:uid="{FAD22103-BC20-43E2-90B4-55A690983381}"/>
    <cellStyle name="Vírgula 2 4 2 3" xfId="157" xr:uid="{DAC3BDF2-8552-48A3-A0FA-FA0486634D2C}"/>
    <cellStyle name="Vírgula 2 4 3" xfId="79" xr:uid="{BBA4A4CF-5EB0-4709-8255-E651C95BECEB}"/>
    <cellStyle name="Vírgula 2 4 3 2" xfId="182" xr:uid="{44D279A5-6736-4CB5-ADEA-ADB6AE8118BB}"/>
    <cellStyle name="Vírgula 2 4 4" xfId="129" xr:uid="{F82704B3-8AB3-4151-9D63-995532B15F9B}"/>
    <cellStyle name="Vírgula 2 5" xfId="10" xr:uid="{00000000-0005-0000-0000-000024000000}"/>
    <cellStyle name="Vírgula 2 5 2" xfId="49" xr:uid="{BB1EFBFB-B446-4F3D-8211-6088AEF63284}"/>
    <cellStyle name="Vírgula 2 5 2 2" xfId="101" xr:uid="{13016FBA-9CC0-4440-8316-4099AE3D1A5C}"/>
    <cellStyle name="Vírgula 2 5 2 2 2" xfId="203" xr:uid="{F125EDAC-C5C9-442A-BE6F-D449E5C7500B}"/>
    <cellStyle name="Vírgula 2 5 2 3" xfId="152" xr:uid="{E332926F-F54E-4A8C-B09A-B6DC199F61CF}"/>
    <cellStyle name="Vírgula 2 5 3" xfId="75" xr:uid="{66D019C0-1614-41F4-83DF-8A5B62056EE6}"/>
    <cellStyle name="Vírgula 2 5 3 2" xfId="178" xr:uid="{454B36D7-6803-4DC4-926F-0AA348CB7BCF}"/>
    <cellStyle name="Vírgula 2 5 4" xfId="124" xr:uid="{DD0854E5-5C15-4A29-81CC-8FF99EDD1E9B}"/>
    <cellStyle name="Vírgula 2 6" xfId="44" xr:uid="{1873ED22-54F5-4A85-9E67-F08B4506BA47}"/>
    <cellStyle name="Vírgula 2 6 2" xfId="96" xr:uid="{63ECA0B8-7AB3-4161-B51E-513F1D33BEA1}"/>
    <cellStyle name="Vírgula 2 6 2 2" xfId="198" xr:uid="{2FED9062-6FC7-476A-A739-F23A5D2D9908}"/>
    <cellStyle name="Vírgula 2 6 3" xfId="147" xr:uid="{EA85E6DE-7135-4CC5-94D7-886C370FF469}"/>
    <cellStyle name="Vírgula 2 7" xfId="70" xr:uid="{CB36172D-B8C2-48C9-B025-E02A8372701E}"/>
    <cellStyle name="Vírgula 2 7 2" xfId="173" xr:uid="{B414E8A3-4704-419E-B409-C5BD93ED7710}"/>
    <cellStyle name="Vírgula 2 8" xfId="119" xr:uid="{B6BB8AAD-642F-4486-A869-993EE1462C66}"/>
    <cellStyle name="Vírgula 3" xfId="33" xr:uid="{00000000-0005-0000-0000-000025000000}"/>
    <cellStyle name="Vírgula 3 2" xfId="61" xr:uid="{2B74F9A1-AA6D-4C42-A12C-5E1D23C1C9C2}"/>
    <cellStyle name="Vírgula 3 2 2" xfId="111" xr:uid="{D5565966-E642-45A0-9631-C2B01D51A24E}"/>
    <cellStyle name="Vírgula 3 2 2 2" xfId="213" xr:uid="{09AE33A3-A75C-40CB-AB8D-56D8CB7B3BD6}"/>
    <cellStyle name="Vírgula 3 2 3" xfId="164" xr:uid="{592000F5-C905-425B-B212-0599D40213EA}"/>
    <cellStyle name="Vírgula 3 3" xfId="86" xr:uid="{DB38338F-69EB-4DA0-8F7F-1706C93A3B02}"/>
    <cellStyle name="Vírgula 3 3 2" xfId="188" xr:uid="{533B99FC-B93B-47D5-BE99-4FC6475E5FEE}"/>
    <cellStyle name="Vírgula 3 4" xfId="136" xr:uid="{8A5E2BB6-99D0-4B62-BB49-9FC15BD48501}"/>
    <cellStyle name="Vírgula 4" xfId="14" xr:uid="{00000000-0005-0000-0000-000026000000}"/>
    <cellStyle name="Vírgula 4 2" xfId="52" xr:uid="{CAD3B6DE-E6FB-40E6-BA6F-CDDA47025B76}"/>
    <cellStyle name="Vírgula 4 2 2" xfId="104" xr:uid="{FD3C6903-61A1-481F-BC2B-A3C200EA2B2E}"/>
    <cellStyle name="Vírgula 4 2 2 2" xfId="206" xr:uid="{94190E92-ED44-47BC-B171-6EEAC1B848DC}"/>
    <cellStyle name="Vírgula 4 2 3" xfId="155" xr:uid="{001D4397-E95B-4B64-BBB4-447DCC36836B}"/>
    <cellStyle name="Vírgula 4 3" xfId="78" xr:uid="{8AD41A91-46EC-4529-BDC6-6F9C73C85A0F}"/>
    <cellStyle name="Vírgula 4 3 2" xfId="181" xr:uid="{D06B8DFE-B5FD-4F02-BD5E-47EB91A932F3}"/>
    <cellStyle name="Vírgula 4 4" xfId="127" xr:uid="{CB87162E-58B7-4502-A1F8-C57904A4D09E}"/>
    <cellStyle name="Vírgula 5" xfId="8" xr:uid="{00000000-0005-0000-0000-000027000000}"/>
    <cellStyle name="Vírgula 5 2" xfId="47" xr:uid="{70A0E2E5-4FCF-45CB-A3E3-B15DB7F93A78}"/>
    <cellStyle name="Vírgula 5 2 2" xfId="99" xr:uid="{1DDDC45C-05E3-42AA-9517-40439245F499}"/>
    <cellStyle name="Vírgula 5 2 2 2" xfId="201" xr:uid="{3B33625F-3E7D-499A-B7BC-7A952B9B2C75}"/>
    <cellStyle name="Vírgula 5 2 3" xfId="150" xr:uid="{B165E8F1-3EF3-4AF7-8B3E-84780C95B101}"/>
    <cellStyle name="Vírgula 5 3" xfId="73" xr:uid="{70777B3A-C0E3-4DBC-A3BA-8943F9227896}"/>
    <cellStyle name="Vírgula 5 3 2" xfId="176" xr:uid="{7E9BF504-F95D-402D-B68B-3E692DC21EFB}"/>
    <cellStyle name="Vírgula 5 4" xfId="122" xr:uid="{1426872F-5707-4341-970A-CFA0C957B8E1}"/>
    <cellStyle name="Vírgula 6" xfId="40" xr:uid="{0545B7ED-0546-4C11-B5D4-2E0ED60DAECE}"/>
    <cellStyle name="Vírgula 6 2" xfId="92" xr:uid="{293C08F1-3A44-4C3A-9A60-7A92BE8B8BA4}"/>
    <cellStyle name="Vírgula 6 2 2" xfId="194" xr:uid="{C000BF7D-72D2-4209-BC66-3B278C62680B}"/>
    <cellStyle name="Vírgula 6 3" xfId="143" xr:uid="{50720106-45C9-4112-AE71-4FFC8E5B4E74}"/>
    <cellStyle name="Vírgula 7" xfId="42" xr:uid="{BEDF6C22-9B53-4AA5-8D2B-EE63E9531912}"/>
    <cellStyle name="Vírgula 7 2" xfId="94" xr:uid="{A88AF4B7-BF04-458C-8AAC-70039F5ACC09}"/>
    <cellStyle name="Vírgula 7 2 2" xfId="196" xr:uid="{F37A0706-5332-4E36-A082-8C2B6102D7E5}"/>
    <cellStyle name="Vírgula 7 3" xfId="145" xr:uid="{D2D3982C-3CAE-4231-B8BD-022FC686CBD0}"/>
    <cellStyle name="Vírgula 8" xfId="68" xr:uid="{EEA80631-22D6-4705-BB3B-F1102C25A5D6}"/>
    <cellStyle name="Vírgula 8 2" xfId="171" xr:uid="{E671E65E-E17D-4382-B998-20361BCB6DAB}"/>
    <cellStyle name="Vírgula 9" xfId="117" xr:uid="{3C076A01-B281-414E-B77F-1F593E7037A9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5"/>
  <sheetViews>
    <sheetView tabSelected="1" view="pageBreakPreview" topLeftCell="A5" zoomScale="85" zoomScaleNormal="90" zoomScaleSheetLayoutView="85" zoomScalePageLayoutView="40" workbookViewId="0">
      <selection activeCell="B83" sqref="B83"/>
    </sheetView>
  </sheetViews>
  <sheetFormatPr defaultColWidth="11.23046875" defaultRowHeight="16.2" outlineLevelRow="2" x14ac:dyDescent="0.3"/>
  <cols>
    <col min="1" max="1" width="8.07421875" style="6" bestFit="1" customWidth="1"/>
    <col min="2" max="2" width="65.61328125" style="6" customWidth="1"/>
    <col min="3" max="3" width="4.69140625" style="8" bestFit="1" customWidth="1"/>
    <col min="4" max="4" width="9.4609375" style="6" customWidth="1"/>
    <col min="5" max="5" width="11.921875" style="6" bestFit="1" customWidth="1"/>
    <col min="6" max="6" width="11" style="6" customWidth="1"/>
    <col min="7" max="7" width="9.23046875" style="6" customWidth="1"/>
    <col min="8" max="8" width="11.921875" style="6" bestFit="1" customWidth="1"/>
    <col min="9" max="9" width="11" style="8" bestFit="1" customWidth="1"/>
    <col min="10" max="10" width="13.3828125" style="8" bestFit="1" customWidth="1"/>
    <col min="11" max="12" width="9.23046875" style="32" bestFit="1" customWidth="1"/>
    <col min="13" max="18" width="8.3046875" style="6" customWidth="1"/>
    <col min="19" max="20" width="11.23046875" style="6"/>
    <col min="21" max="21" width="14.4609375" style="6" bestFit="1" customWidth="1"/>
    <col min="22" max="16384" width="11.23046875" style="6"/>
  </cols>
  <sheetData>
    <row r="1" spans="1:13" x14ac:dyDescent="0.3">
      <c r="A1" s="3"/>
      <c r="B1" s="3"/>
      <c r="C1" s="2"/>
      <c r="D1" s="3"/>
      <c r="E1" s="3"/>
      <c r="F1" s="3"/>
      <c r="G1" s="3"/>
      <c r="H1" s="3"/>
      <c r="I1" s="2"/>
      <c r="J1" s="2"/>
      <c r="K1" s="31"/>
      <c r="L1" s="31"/>
      <c r="M1" s="3"/>
    </row>
    <row r="2" spans="1:13" s="5" customFormat="1" ht="24.75" customHeight="1" x14ac:dyDescent="0.3">
      <c r="A2" s="51" t="s">
        <v>452</v>
      </c>
      <c r="B2" s="48"/>
      <c r="C2" s="48"/>
      <c r="D2" s="48" t="s">
        <v>37</v>
      </c>
      <c r="E2" s="48"/>
      <c r="F2" s="48"/>
      <c r="G2" s="48"/>
      <c r="H2" s="48"/>
      <c r="I2" s="48"/>
      <c r="J2" s="48"/>
      <c r="K2" s="52"/>
      <c r="L2" s="52"/>
      <c r="M2" s="50"/>
    </row>
    <row r="3" spans="1:13" s="5" customFormat="1" ht="22.8" thickBot="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53"/>
      <c r="L3" s="53"/>
      <c r="M3" s="50"/>
    </row>
    <row r="4" spans="1:13" s="5" customFormat="1" ht="15" customHeight="1" thickBot="1" x14ac:dyDescent="0.35">
      <c r="A4" s="198" t="s">
        <v>209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200"/>
      <c r="M4" s="50"/>
    </row>
    <row r="5" spans="1:13" s="5" customFormat="1" ht="14.25" customHeight="1" x14ac:dyDescent="0.3">
      <c r="A5" s="172" t="s">
        <v>429</v>
      </c>
      <c r="B5" s="173"/>
      <c r="C5" s="173"/>
      <c r="D5" s="173"/>
      <c r="E5" s="174"/>
      <c r="F5" s="172" t="s">
        <v>210</v>
      </c>
      <c r="G5" s="173"/>
      <c r="H5" s="173"/>
      <c r="I5" s="173"/>
      <c r="J5" s="173"/>
      <c r="K5" s="173"/>
      <c r="L5" s="174"/>
      <c r="M5" s="50"/>
    </row>
    <row r="6" spans="1:13" s="5" customFormat="1" ht="14.25" customHeight="1" x14ac:dyDescent="0.3">
      <c r="A6" s="201" t="s">
        <v>430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3"/>
      <c r="M6" s="50"/>
    </row>
    <row r="7" spans="1:13" s="5" customFormat="1" ht="14.25" customHeight="1" x14ac:dyDescent="0.3">
      <c r="A7" s="204" t="s">
        <v>428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6"/>
      <c r="M7" s="50"/>
    </row>
    <row r="8" spans="1:13" s="5" customFormat="1" ht="13.8" x14ac:dyDescent="0.3">
      <c r="A8" s="172" t="s">
        <v>48</v>
      </c>
      <c r="B8" s="173"/>
      <c r="C8" s="174"/>
      <c r="D8" s="215"/>
      <c r="E8" s="215"/>
      <c r="F8" s="216"/>
      <c r="G8" s="207" t="s">
        <v>38</v>
      </c>
      <c r="H8" s="208"/>
      <c r="I8" s="208"/>
      <c r="J8" s="208"/>
      <c r="K8" s="208"/>
      <c r="L8" s="209"/>
      <c r="M8" s="50"/>
    </row>
    <row r="9" spans="1:13" s="5" customFormat="1" ht="15.75" customHeight="1" thickBot="1" x14ac:dyDescent="0.35">
      <c r="A9" s="217" t="s">
        <v>47</v>
      </c>
      <c r="B9" s="217"/>
      <c r="C9" s="217"/>
      <c r="D9" s="184" t="s">
        <v>49</v>
      </c>
      <c r="E9" s="185"/>
      <c r="F9" s="186"/>
      <c r="G9" s="213">
        <v>45198</v>
      </c>
      <c r="H9" s="214"/>
      <c r="I9" s="210"/>
      <c r="J9" s="211"/>
      <c r="K9" s="211"/>
      <c r="L9" s="212"/>
      <c r="M9" s="50"/>
    </row>
    <row r="10" spans="1:13" s="5" customFormat="1" ht="15.75" customHeight="1" thickBot="1" x14ac:dyDescent="0.35">
      <c r="A10" s="175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7"/>
      <c r="M10" s="50"/>
    </row>
    <row r="11" spans="1:13" s="5" customFormat="1" ht="15" customHeight="1" thickBot="1" x14ac:dyDescent="0.35">
      <c r="A11" s="178" t="s">
        <v>255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80"/>
      <c r="M11" s="50"/>
    </row>
    <row r="12" spans="1:13" s="5" customFormat="1" x14ac:dyDescent="0.3">
      <c r="A12" s="187" t="s">
        <v>1</v>
      </c>
      <c r="B12" s="187" t="s">
        <v>39</v>
      </c>
      <c r="C12" s="191" t="s">
        <v>40</v>
      </c>
      <c r="D12" s="189" t="s">
        <v>2</v>
      </c>
      <c r="E12" s="181" t="s">
        <v>41</v>
      </c>
      <c r="F12" s="193"/>
      <c r="G12" s="194"/>
      <c r="H12" s="181" t="s">
        <v>0</v>
      </c>
      <c r="I12" s="182"/>
      <c r="J12" s="183"/>
      <c r="K12" s="170" t="s">
        <v>284</v>
      </c>
      <c r="L12" s="170" t="s">
        <v>337</v>
      </c>
      <c r="M12" s="50"/>
    </row>
    <row r="13" spans="1:13" s="5" customFormat="1" ht="13.8" x14ac:dyDescent="0.3">
      <c r="A13" s="188"/>
      <c r="B13" s="188"/>
      <c r="C13" s="192"/>
      <c r="D13" s="190"/>
      <c r="E13" s="49" t="s">
        <v>42</v>
      </c>
      <c r="F13" s="49" t="s">
        <v>43</v>
      </c>
      <c r="G13" s="49" t="s">
        <v>44</v>
      </c>
      <c r="H13" s="49" t="s">
        <v>42</v>
      </c>
      <c r="I13" s="49" t="s">
        <v>43</v>
      </c>
      <c r="J13" s="49" t="s">
        <v>44</v>
      </c>
      <c r="K13" s="171"/>
      <c r="L13" s="171"/>
      <c r="M13" s="50"/>
    </row>
    <row r="14" spans="1:13" s="5" customFormat="1" ht="13.8" x14ac:dyDescent="0.3">
      <c r="A14" s="75">
        <v>1</v>
      </c>
      <c r="B14" s="76" t="s">
        <v>3</v>
      </c>
      <c r="C14" s="77"/>
      <c r="D14" s="78"/>
      <c r="E14" s="79"/>
      <c r="F14" s="79"/>
      <c r="G14" s="79"/>
      <c r="H14" s="79"/>
      <c r="I14" s="79"/>
      <c r="J14" s="79">
        <f>J15+J25</f>
        <v>75301.476800000004</v>
      </c>
      <c r="K14" s="33"/>
      <c r="L14" s="33"/>
      <c r="M14" s="50"/>
    </row>
    <row r="15" spans="1:13" s="11" customFormat="1" ht="14.4" hidden="1" outlineLevel="1" x14ac:dyDescent="0.3">
      <c r="A15" s="80" t="s">
        <v>45</v>
      </c>
      <c r="B15" s="81" t="s">
        <v>363</v>
      </c>
      <c r="C15" s="82"/>
      <c r="D15" s="80"/>
      <c r="E15" s="83"/>
      <c r="F15" s="83"/>
      <c r="G15" s="83"/>
      <c r="H15" s="83"/>
      <c r="I15" s="83"/>
      <c r="J15" s="94">
        <f>SUM(J16:J24)</f>
        <v>64533.680999999997</v>
      </c>
      <c r="K15" s="84"/>
      <c r="L15" s="84"/>
      <c r="M15" s="54"/>
    </row>
    <row r="16" spans="1:13" s="10" customFormat="1" hidden="1" outlineLevel="2" x14ac:dyDescent="0.3">
      <c r="A16" s="148" t="s">
        <v>357</v>
      </c>
      <c r="B16" s="149" t="s">
        <v>67</v>
      </c>
      <c r="C16" s="150" t="s">
        <v>4</v>
      </c>
      <c r="D16" s="150">
        <v>1</v>
      </c>
      <c r="E16" s="136"/>
      <c r="F16" s="136"/>
      <c r="G16" s="136">
        <v>400</v>
      </c>
      <c r="H16" s="136"/>
      <c r="I16" s="138"/>
      <c r="J16" s="123"/>
      <c r="K16" s="87"/>
      <c r="L16" s="67"/>
      <c r="M16" s="3"/>
    </row>
    <row r="17" spans="1:13" s="10" customFormat="1" hidden="1" outlineLevel="2" x14ac:dyDescent="0.3">
      <c r="A17" s="148" t="s">
        <v>358</v>
      </c>
      <c r="B17" s="149" t="s">
        <v>68</v>
      </c>
      <c r="C17" s="150" t="s">
        <v>5</v>
      </c>
      <c r="D17" s="150">
        <v>6</v>
      </c>
      <c r="E17" s="136"/>
      <c r="F17" s="136"/>
      <c r="G17" s="136">
        <v>403.45</v>
      </c>
      <c r="H17" s="136"/>
      <c r="I17" s="138"/>
      <c r="J17" s="123">
        <f t="shared" ref="J17:J23" si="0">G17*D17</f>
        <v>2420.6999999999998</v>
      </c>
      <c r="K17" s="87" t="s">
        <v>439</v>
      </c>
      <c r="L17" s="67" t="s">
        <v>338</v>
      </c>
      <c r="M17" s="3"/>
    </row>
    <row r="18" spans="1:13" s="10" customFormat="1" ht="28.8" hidden="1" outlineLevel="2" x14ac:dyDescent="0.3">
      <c r="A18" s="148" t="s">
        <v>359</v>
      </c>
      <c r="B18" s="149" t="s">
        <v>134</v>
      </c>
      <c r="C18" s="150" t="s">
        <v>5</v>
      </c>
      <c r="D18" s="150">
        <f>20*2.2</f>
        <v>44</v>
      </c>
      <c r="E18" s="136"/>
      <c r="F18" s="136"/>
      <c r="G18" s="136">
        <v>94.14</v>
      </c>
      <c r="H18" s="136"/>
      <c r="I18" s="138"/>
      <c r="J18" s="123">
        <f t="shared" si="0"/>
        <v>4142.16</v>
      </c>
      <c r="K18" s="87" t="s">
        <v>440</v>
      </c>
      <c r="L18" s="67" t="s">
        <v>338</v>
      </c>
      <c r="M18" s="3"/>
    </row>
    <row r="19" spans="1:13" s="14" customFormat="1" hidden="1" outlineLevel="2" x14ac:dyDescent="0.3">
      <c r="A19" s="148" t="s">
        <v>360</v>
      </c>
      <c r="B19" s="149" t="s">
        <v>500</v>
      </c>
      <c r="C19" s="150" t="s">
        <v>5</v>
      </c>
      <c r="D19" s="150">
        <v>9</v>
      </c>
      <c r="E19" s="136"/>
      <c r="F19" s="136"/>
      <c r="G19" s="136">
        <v>274.69</v>
      </c>
      <c r="H19" s="136"/>
      <c r="I19" s="138"/>
      <c r="J19" s="123">
        <f t="shared" si="0"/>
        <v>2472.21</v>
      </c>
      <c r="K19" s="87" t="s">
        <v>441</v>
      </c>
      <c r="L19" s="67" t="s">
        <v>338</v>
      </c>
      <c r="M19" s="3"/>
    </row>
    <row r="20" spans="1:13" s="10" customFormat="1" ht="28.8" hidden="1" outlineLevel="2" x14ac:dyDescent="0.3">
      <c r="A20" s="148" t="s">
        <v>497</v>
      </c>
      <c r="B20" s="149" t="s">
        <v>202</v>
      </c>
      <c r="C20" s="150" t="s">
        <v>5</v>
      </c>
      <c r="D20" s="150">
        <f>6*3</f>
        <v>18</v>
      </c>
      <c r="E20" s="136"/>
      <c r="F20" s="136"/>
      <c r="G20" s="136">
        <v>1088.54</v>
      </c>
      <c r="H20" s="136"/>
      <c r="I20" s="138"/>
      <c r="J20" s="123">
        <f t="shared" si="0"/>
        <v>19593.72</v>
      </c>
      <c r="K20" s="87" t="s">
        <v>448</v>
      </c>
      <c r="L20" s="67" t="s">
        <v>442</v>
      </c>
      <c r="M20" s="3"/>
    </row>
    <row r="21" spans="1:13" s="10" customFormat="1" ht="28.8" hidden="1" outlineLevel="2" x14ac:dyDescent="0.3">
      <c r="A21" s="148" t="s">
        <v>498</v>
      </c>
      <c r="B21" s="149" t="s">
        <v>69</v>
      </c>
      <c r="C21" s="150" t="s">
        <v>5</v>
      </c>
      <c r="D21" s="150">
        <f>6*3</f>
        <v>18</v>
      </c>
      <c r="E21" s="136"/>
      <c r="F21" s="136"/>
      <c r="G21" s="136">
        <v>966.53</v>
      </c>
      <c r="H21" s="136"/>
      <c r="I21" s="138"/>
      <c r="J21" s="123">
        <f>G21*D21</f>
        <v>17397.54</v>
      </c>
      <c r="K21" s="87" t="s">
        <v>443</v>
      </c>
      <c r="L21" s="67" t="s">
        <v>442</v>
      </c>
      <c r="M21" s="3"/>
    </row>
    <row r="22" spans="1:13" s="10" customFormat="1" ht="28.8" hidden="1" outlineLevel="2" x14ac:dyDescent="0.3">
      <c r="A22" s="148" t="s">
        <v>499</v>
      </c>
      <c r="B22" s="149" t="s">
        <v>7</v>
      </c>
      <c r="C22" s="150" t="s">
        <v>6</v>
      </c>
      <c r="D22" s="150">
        <v>6.7</v>
      </c>
      <c r="E22" s="136">
        <v>1183.1099999999999</v>
      </c>
      <c r="F22" s="136">
        <v>139.41999999999999</v>
      </c>
      <c r="G22" s="136">
        <v>1322.53</v>
      </c>
      <c r="H22" s="136"/>
      <c r="I22" s="138"/>
      <c r="J22" s="123">
        <f>D22*G22</f>
        <v>8860.9510000000009</v>
      </c>
      <c r="K22" s="87" t="s">
        <v>444</v>
      </c>
      <c r="L22" s="67" t="s">
        <v>340</v>
      </c>
      <c r="M22" s="3"/>
    </row>
    <row r="23" spans="1:13" s="10" customFormat="1" ht="28.8" hidden="1" outlineLevel="2" x14ac:dyDescent="0.3">
      <c r="A23" s="148" t="s">
        <v>361</v>
      </c>
      <c r="B23" s="149" t="s">
        <v>445</v>
      </c>
      <c r="C23" s="150" t="s">
        <v>5</v>
      </c>
      <c r="D23" s="150">
        <v>240</v>
      </c>
      <c r="E23" s="136">
        <v>11.11</v>
      </c>
      <c r="F23" s="136">
        <v>5.87</v>
      </c>
      <c r="G23" s="136">
        <v>16.98</v>
      </c>
      <c r="H23" s="136"/>
      <c r="I23" s="138"/>
      <c r="J23" s="123">
        <f t="shared" si="0"/>
        <v>4075.2000000000003</v>
      </c>
      <c r="K23" s="87" t="s">
        <v>446</v>
      </c>
      <c r="L23" s="67" t="s">
        <v>340</v>
      </c>
      <c r="M23" s="3"/>
    </row>
    <row r="24" spans="1:13" s="14" customFormat="1" hidden="1" outlineLevel="2" x14ac:dyDescent="0.3">
      <c r="A24" s="148" t="s">
        <v>362</v>
      </c>
      <c r="B24" s="149" t="s">
        <v>503</v>
      </c>
      <c r="C24" s="150" t="s">
        <v>8</v>
      </c>
      <c r="D24" s="151">
        <v>40</v>
      </c>
      <c r="E24" s="136">
        <v>29.34</v>
      </c>
      <c r="F24" s="136">
        <v>109.94</v>
      </c>
      <c r="G24" s="136">
        <v>139.28</v>
      </c>
      <c r="H24" s="136"/>
      <c r="I24" s="138"/>
      <c r="J24" s="123">
        <f>G24*D24</f>
        <v>5571.2</v>
      </c>
      <c r="K24" s="87" t="s">
        <v>447</v>
      </c>
      <c r="L24" s="67" t="s">
        <v>340</v>
      </c>
      <c r="M24" s="3"/>
    </row>
    <row r="25" spans="1:13" s="5" customFormat="1" ht="14.4" hidden="1" outlineLevel="1" x14ac:dyDescent="0.3">
      <c r="A25" s="80" t="s">
        <v>46</v>
      </c>
      <c r="B25" s="81" t="s">
        <v>353</v>
      </c>
      <c r="C25" s="82"/>
      <c r="D25" s="80"/>
      <c r="E25" s="83"/>
      <c r="F25" s="83"/>
      <c r="G25" s="83"/>
      <c r="H25" s="83"/>
      <c r="I25" s="83"/>
      <c r="J25" s="94">
        <f>SUM(J26:J31)</f>
        <v>10767.7958</v>
      </c>
      <c r="K25" s="84"/>
      <c r="L25" s="84"/>
      <c r="M25" s="50"/>
    </row>
    <row r="26" spans="1:13" s="13" customFormat="1" ht="28.8" hidden="1" outlineLevel="2" x14ac:dyDescent="0.3">
      <c r="A26" s="62" t="s">
        <v>354</v>
      </c>
      <c r="B26" s="63" t="s">
        <v>347</v>
      </c>
      <c r="C26" s="64" t="s">
        <v>8</v>
      </c>
      <c r="D26" s="64">
        <f>34.12+8.2</f>
        <v>42.319999999999993</v>
      </c>
      <c r="E26" s="85"/>
      <c r="F26" s="85"/>
      <c r="G26" s="85">
        <v>65.69</v>
      </c>
      <c r="H26" s="85"/>
      <c r="I26" s="86"/>
      <c r="J26" s="86">
        <f t="shared" ref="J26:J31" si="1">G26*D26</f>
        <v>2780.0007999999993</v>
      </c>
      <c r="K26" s="87" t="s">
        <v>348</v>
      </c>
      <c r="L26" s="67" t="s">
        <v>338</v>
      </c>
    </row>
    <row r="27" spans="1:13" s="13" customFormat="1" ht="28.8" hidden="1" outlineLevel="2" x14ac:dyDescent="0.3">
      <c r="A27" s="62" t="s">
        <v>355</v>
      </c>
      <c r="B27" s="63" t="s">
        <v>349</v>
      </c>
      <c r="C27" s="64" t="s">
        <v>8</v>
      </c>
      <c r="D27" s="64">
        <f>3+1.4</f>
        <v>4.4000000000000004</v>
      </c>
      <c r="E27" s="85"/>
      <c r="F27" s="85"/>
      <c r="G27" s="85">
        <v>284.64999999999998</v>
      </c>
      <c r="H27" s="85"/>
      <c r="I27" s="86"/>
      <c r="J27" s="86">
        <f t="shared" si="1"/>
        <v>1252.46</v>
      </c>
      <c r="K27" s="87" t="s">
        <v>350</v>
      </c>
      <c r="L27" s="67" t="s">
        <v>338</v>
      </c>
    </row>
    <row r="28" spans="1:13" s="13" customFormat="1" ht="28.8" hidden="1" outlineLevel="2" x14ac:dyDescent="0.3">
      <c r="A28" s="62" t="s">
        <v>356</v>
      </c>
      <c r="B28" s="63" t="s">
        <v>351</v>
      </c>
      <c r="C28" s="64" t="s">
        <v>5</v>
      </c>
      <c r="D28" s="64">
        <v>71.099999999999994</v>
      </c>
      <c r="E28" s="85"/>
      <c r="F28" s="85"/>
      <c r="G28" s="85">
        <v>5.47</v>
      </c>
      <c r="H28" s="85"/>
      <c r="I28" s="86"/>
      <c r="J28" s="86">
        <f t="shared" si="1"/>
        <v>388.91699999999997</v>
      </c>
      <c r="K28" s="87" t="s">
        <v>352</v>
      </c>
      <c r="L28" s="67" t="s">
        <v>338</v>
      </c>
    </row>
    <row r="29" spans="1:13" s="14" customFormat="1" ht="28.8" hidden="1" outlineLevel="2" x14ac:dyDescent="0.3">
      <c r="A29" s="62" t="s">
        <v>364</v>
      </c>
      <c r="B29" s="149" t="s">
        <v>204</v>
      </c>
      <c r="C29" s="150" t="s">
        <v>8</v>
      </c>
      <c r="D29" s="150">
        <f>D26+D27+D28</f>
        <v>117.82</v>
      </c>
      <c r="E29" s="136"/>
      <c r="F29" s="136"/>
      <c r="G29" s="136">
        <v>22.9</v>
      </c>
      <c r="H29" s="136"/>
      <c r="I29" s="138"/>
      <c r="J29" s="138">
        <f t="shared" si="1"/>
        <v>2698.0779999999995</v>
      </c>
      <c r="K29" s="87" t="s">
        <v>502</v>
      </c>
      <c r="L29" s="67" t="s">
        <v>338</v>
      </c>
      <c r="M29" s="3"/>
    </row>
    <row r="30" spans="1:13" s="14" customFormat="1" hidden="1" outlineLevel="2" x14ac:dyDescent="0.3">
      <c r="A30" s="62" t="s">
        <v>491</v>
      </c>
      <c r="B30" s="149" t="s">
        <v>203</v>
      </c>
      <c r="C30" s="150" t="s">
        <v>6</v>
      </c>
      <c r="D30" s="150">
        <f>1*4*6</f>
        <v>24</v>
      </c>
      <c r="E30" s="136"/>
      <c r="F30" s="136"/>
      <c r="G30" s="136">
        <v>111.91</v>
      </c>
      <c r="H30" s="136"/>
      <c r="I30" s="138"/>
      <c r="J30" s="138">
        <f t="shared" si="1"/>
        <v>2685.84</v>
      </c>
      <c r="K30" s="87" t="s">
        <v>492</v>
      </c>
      <c r="L30" s="67" t="s">
        <v>338</v>
      </c>
      <c r="M30" s="3"/>
    </row>
    <row r="31" spans="1:13" s="13" customFormat="1" hidden="1" outlineLevel="2" x14ac:dyDescent="0.3">
      <c r="A31" s="62" t="s">
        <v>501</v>
      </c>
      <c r="B31" s="63" t="s">
        <v>365</v>
      </c>
      <c r="C31" s="64" t="s">
        <v>6</v>
      </c>
      <c r="D31" s="64">
        <v>1</v>
      </c>
      <c r="E31" s="85"/>
      <c r="F31" s="85"/>
      <c r="G31" s="85">
        <v>962.5</v>
      </c>
      <c r="H31" s="85"/>
      <c r="I31" s="86"/>
      <c r="J31" s="86">
        <f t="shared" si="1"/>
        <v>962.5</v>
      </c>
      <c r="K31" s="87" t="s">
        <v>366</v>
      </c>
      <c r="L31" s="67" t="s">
        <v>338</v>
      </c>
      <c r="M31" s="3"/>
    </row>
    <row r="32" spans="1:13" s="5" customFormat="1" ht="13.8" collapsed="1" x14ac:dyDescent="0.3">
      <c r="A32" s="71">
        <v>2</v>
      </c>
      <c r="B32" s="72" t="s">
        <v>66</v>
      </c>
      <c r="C32" s="73"/>
      <c r="D32" s="71"/>
      <c r="E32" s="74"/>
      <c r="F32" s="74"/>
      <c r="G32" s="74"/>
      <c r="H32" s="74"/>
      <c r="I32" s="74"/>
      <c r="J32" s="74">
        <f>J33+J37</f>
        <v>115779.37354</v>
      </c>
      <c r="K32" s="34"/>
      <c r="L32" s="34"/>
      <c r="M32" s="50"/>
    </row>
    <row r="33" spans="1:14" s="11" customFormat="1" ht="14.4" hidden="1" outlineLevel="1" x14ac:dyDescent="0.3">
      <c r="A33" s="80" t="s">
        <v>50</v>
      </c>
      <c r="B33" s="81" t="s">
        <v>173</v>
      </c>
      <c r="C33" s="82"/>
      <c r="D33" s="80"/>
      <c r="E33" s="83"/>
      <c r="F33" s="83"/>
      <c r="G33" s="83"/>
      <c r="H33" s="83"/>
      <c r="I33" s="83"/>
      <c r="J33" s="94">
        <f>SUM(J34:J36)</f>
        <v>67303.325299999997</v>
      </c>
      <c r="K33" s="84"/>
      <c r="L33" s="84"/>
      <c r="M33" s="54"/>
    </row>
    <row r="34" spans="1:14" s="10" customFormat="1" ht="28.8" hidden="1" outlineLevel="2" x14ac:dyDescent="0.3">
      <c r="A34" s="62" t="s">
        <v>77</v>
      </c>
      <c r="B34" s="63" t="s">
        <v>490</v>
      </c>
      <c r="C34" s="64" t="s">
        <v>10</v>
      </c>
      <c r="D34" s="64">
        <f>14*24</f>
        <v>336</v>
      </c>
      <c r="E34" s="65"/>
      <c r="F34" s="65"/>
      <c r="G34" s="65">
        <v>144.94999999999999</v>
      </c>
      <c r="H34" s="65"/>
      <c r="I34" s="66"/>
      <c r="J34" s="123">
        <f>G34*D34</f>
        <v>48703.199999999997</v>
      </c>
      <c r="K34" s="67" t="s">
        <v>285</v>
      </c>
      <c r="L34" s="67" t="s">
        <v>338</v>
      </c>
      <c r="M34" s="3"/>
    </row>
    <row r="35" spans="1:14" hidden="1" outlineLevel="2" x14ac:dyDescent="0.3">
      <c r="A35" s="62" t="s">
        <v>162</v>
      </c>
      <c r="B35" s="63" t="s">
        <v>211</v>
      </c>
      <c r="C35" s="64" t="s">
        <v>8</v>
      </c>
      <c r="D35" s="64">
        <v>20.79</v>
      </c>
      <c r="E35" s="65"/>
      <c r="F35" s="65"/>
      <c r="G35" s="65">
        <v>524.07000000000005</v>
      </c>
      <c r="H35" s="65"/>
      <c r="I35" s="66"/>
      <c r="J35" s="123">
        <f>G35*D35</f>
        <v>10895.415300000001</v>
      </c>
      <c r="K35" s="67" t="s">
        <v>286</v>
      </c>
      <c r="L35" s="67" t="s">
        <v>338</v>
      </c>
      <c r="M35" s="56"/>
    </row>
    <row r="36" spans="1:14" hidden="1" outlineLevel="2" x14ac:dyDescent="0.3">
      <c r="A36" s="62" t="s">
        <v>221</v>
      </c>
      <c r="B36" s="63" t="s">
        <v>283</v>
      </c>
      <c r="C36" s="64" t="s">
        <v>223</v>
      </c>
      <c r="D36" s="147">
        <v>611</v>
      </c>
      <c r="E36" s="65"/>
      <c r="F36" s="65"/>
      <c r="G36" s="65">
        <v>12.61</v>
      </c>
      <c r="H36" s="65"/>
      <c r="I36" s="66"/>
      <c r="J36" s="123">
        <f>D36*G36</f>
        <v>7704.71</v>
      </c>
      <c r="K36" s="67" t="s">
        <v>287</v>
      </c>
      <c r="L36" s="67" t="s">
        <v>338</v>
      </c>
      <c r="M36" s="3"/>
    </row>
    <row r="37" spans="1:14" hidden="1" outlineLevel="1" x14ac:dyDescent="0.3">
      <c r="A37" s="80" t="s">
        <v>51</v>
      </c>
      <c r="B37" s="81" t="s">
        <v>174</v>
      </c>
      <c r="C37" s="82"/>
      <c r="D37" s="80"/>
      <c r="E37" s="83"/>
      <c r="F37" s="83"/>
      <c r="G37" s="83"/>
      <c r="H37" s="83"/>
      <c r="I37" s="83"/>
      <c r="J37" s="94">
        <f>SUM(J38:J44)</f>
        <v>48476.048240000004</v>
      </c>
      <c r="K37" s="84"/>
      <c r="L37" s="84"/>
      <c r="M37" s="3"/>
    </row>
    <row r="38" spans="1:14" s="10" customFormat="1" hidden="1" outlineLevel="2" x14ac:dyDescent="0.3">
      <c r="A38" s="62" t="s">
        <v>123</v>
      </c>
      <c r="B38" s="63" t="s">
        <v>70</v>
      </c>
      <c r="C38" s="64" t="s">
        <v>9</v>
      </c>
      <c r="D38" s="64">
        <f>D43*2</f>
        <v>30.560000000000002</v>
      </c>
      <c r="E38" s="85"/>
      <c r="F38" s="85"/>
      <c r="G38" s="85">
        <f>76.63</f>
        <v>76.63</v>
      </c>
      <c r="H38" s="85"/>
      <c r="I38" s="86"/>
      <c r="J38" s="86">
        <f t="shared" ref="J38:J44" si="2">G38*D38</f>
        <v>2341.8128000000002</v>
      </c>
      <c r="K38" s="67" t="s">
        <v>294</v>
      </c>
      <c r="L38" s="67" t="s">
        <v>338</v>
      </c>
      <c r="M38" s="3"/>
    </row>
    <row r="39" spans="1:14" s="10" customFormat="1" hidden="1" outlineLevel="2" x14ac:dyDescent="0.3">
      <c r="A39" s="62" t="s">
        <v>124</v>
      </c>
      <c r="B39" s="63" t="s">
        <v>11</v>
      </c>
      <c r="C39" s="64" t="s">
        <v>5</v>
      </c>
      <c r="D39" s="64">
        <f>30.76*2</f>
        <v>61.52</v>
      </c>
      <c r="E39" s="85"/>
      <c r="F39" s="85"/>
      <c r="G39" s="85">
        <v>5.47</v>
      </c>
      <c r="H39" s="85"/>
      <c r="I39" s="86"/>
      <c r="J39" s="86">
        <f t="shared" si="2"/>
        <v>336.51440000000002</v>
      </c>
      <c r="K39" s="67" t="s">
        <v>295</v>
      </c>
      <c r="L39" s="67" t="s">
        <v>338</v>
      </c>
      <c r="M39" s="13"/>
    </row>
    <row r="40" spans="1:14" s="10" customFormat="1" hidden="1" outlineLevel="2" x14ac:dyDescent="0.3">
      <c r="A40" s="62" t="s">
        <v>125</v>
      </c>
      <c r="B40" s="63" t="s">
        <v>12</v>
      </c>
      <c r="C40" s="64" t="s">
        <v>13</v>
      </c>
      <c r="D40" s="64">
        <f>D43*1.4</f>
        <v>21.391999999999999</v>
      </c>
      <c r="E40" s="85"/>
      <c r="F40" s="85"/>
      <c r="G40" s="85">
        <f>13.78</f>
        <v>13.78</v>
      </c>
      <c r="H40" s="85"/>
      <c r="I40" s="86"/>
      <c r="J40" s="86">
        <f t="shared" si="2"/>
        <v>294.78175999999996</v>
      </c>
      <c r="K40" s="67" t="s">
        <v>296</v>
      </c>
      <c r="L40" s="67" t="s">
        <v>338</v>
      </c>
      <c r="M40" s="13"/>
    </row>
    <row r="41" spans="1:14" s="10" customFormat="1" hidden="1" outlineLevel="2" x14ac:dyDescent="0.3">
      <c r="A41" s="62" t="s">
        <v>126</v>
      </c>
      <c r="B41" s="63" t="s">
        <v>165</v>
      </c>
      <c r="C41" s="64" t="s">
        <v>8</v>
      </c>
      <c r="D41" s="64">
        <f>D39*0.05</f>
        <v>3.0760000000000005</v>
      </c>
      <c r="E41" s="85"/>
      <c r="F41" s="85"/>
      <c r="G41" s="85">
        <f>477.03</f>
        <v>477.03</v>
      </c>
      <c r="H41" s="85"/>
      <c r="I41" s="86"/>
      <c r="J41" s="86">
        <f t="shared" si="2"/>
        <v>1467.3442800000003</v>
      </c>
      <c r="K41" s="67" t="s">
        <v>297</v>
      </c>
      <c r="L41" s="67" t="s">
        <v>338</v>
      </c>
      <c r="M41" s="13"/>
    </row>
    <row r="42" spans="1:14" s="10" customFormat="1" ht="28.8" hidden="1" outlineLevel="2" x14ac:dyDescent="0.3">
      <c r="A42" s="62" t="s">
        <v>127</v>
      </c>
      <c r="B42" s="63" t="s">
        <v>14</v>
      </c>
      <c r="C42" s="64" t="s">
        <v>15</v>
      </c>
      <c r="D42" s="64">
        <f>32.76+118.78</f>
        <v>151.54</v>
      </c>
      <c r="E42" s="85"/>
      <c r="F42" s="85"/>
      <c r="G42" s="85">
        <v>116.23</v>
      </c>
      <c r="H42" s="85"/>
      <c r="I42" s="86"/>
      <c r="J42" s="86">
        <f t="shared" si="2"/>
        <v>17613.494200000001</v>
      </c>
      <c r="K42" s="67" t="s">
        <v>298</v>
      </c>
      <c r="L42" s="67" t="s">
        <v>338</v>
      </c>
      <c r="M42" s="13"/>
    </row>
    <row r="43" spans="1:14" s="10" customFormat="1" hidden="1" outlineLevel="2" x14ac:dyDescent="0.3">
      <c r="A43" s="62" t="s">
        <v>128</v>
      </c>
      <c r="B43" s="63" t="s">
        <v>122</v>
      </c>
      <c r="C43" s="64" t="s">
        <v>8</v>
      </c>
      <c r="D43" s="64">
        <f>5.72+9.56</f>
        <v>15.280000000000001</v>
      </c>
      <c r="E43" s="85"/>
      <c r="F43" s="85"/>
      <c r="G43" s="65">
        <v>546.76</v>
      </c>
      <c r="H43" s="85"/>
      <c r="I43" s="86"/>
      <c r="J43" s="86">
        <f t="shared" si="2"/>
        <v>8354.4928</v>
      </c>
      <c r="K43" s="67" t="s">
        <v>299</v>
      </c>
      <c r="L43" s="67" t="s">
        <v>338</v>
      </c>
      <c r="M43" s="13"/>
    </row>
    <row r="44" spans="1:14" s="10" customFormat="1" hidden="1" outlineLevel="2" x14ac:dyDescent="0.3">
      <c r="A44" s="62" t="s">
        <v>163</v>
      </c>
      <c r="B44" s="63" t="s">
        <v>224</v>
      </c>
      <c r="C44" s="64" t="s">
        <v>16</v>
      </c>
      <c r="D44" s="64">
        <f>429+1003.8</f>
        <v>1432.8</v>
      </c>
      <c r="E44" s="85"/>
      <c r="F44" s="85"/>
      <c r="G44" s="85">
        <v>12.61</v>
      </c>
      <c r="H44" s="85"/>
      <c r="I44" s="86"/>
      <c r="J44" s="86">
        <f t="shared" si="2"/>
        <v>18067.608</v>
      </c>
      <c r="K44" s="67" t="s">
        <v>300</v>
      </c>
      <c r="L44" s="67" t="s">
        <v>338</v>
      </c>
      <c r="M44" s="13"/>
    </row>
    <row r="45" spans="1:14" s="11" customFormat="1" ht="13.8" collapsed="1" x14ac:dyDescent="0.3">
      <c r="A45" s="71">
        <v>3</v>
      </c>
      <c r="B45" s="72" t="s">
        <v>71</v>
      </c>
      <c r="C45" s="73"/>
      <c r="D45" s="71"/>
      <c r="E45" s="74"/>
      <c r="F45" s="74"/>
      <c r="G45" s="74"/>
      <c r="H45" s="74"/>
      <c r="I45" s="74"/>
      <c r="J45" s="74">
        <f>SUM(J46:J48)</f>
        <v>300404.32490000001</v>
      </c>
      <c r="K45" s="34"/>
      <c r="L45" s="34"/>
      <c r="M45" s="54"/>
    </row>
    <row r="46" spans="1:14" s="10" customFormat="1" ht="28.8" hidden="1" outlineLevel="2" x14ac:dyDescent="0.3">
      <c r="A46" s="62" t="s">
        <v>52</v>
      </c>
      <c r="B46" s="63" t="s">
        <v>72</v>
      </c>
      <c r="C46" s="64" t="s">
        <v>17</v>
      </c>
      <c r="D46" s="64">
        <v>900.23</v>
      </c>
      <c r="E46" s="85"/>
      <c r="F46" s="85"/>
      <c r="G46" s="85">
        <v>116.23</v>
      </c>
      <c r="H46" s="85"/>
      <c r="I46" s="86"/>
      <c r="J46" s="86">
        <f>G46*D46</f>
        <v>104633.7329</v>
      </c>
      <c r="K46" s="67" t="s">
        <v>298</v>
      </c>
      <c r="L46" s="67" t="s">
        <v>338</v>
      </c>
      <c r="M46" s="3"/>
    </row>
    <row r="47" spans="1:14" s="10" customFormat="1" hidden="1" outlineLevel="2" x14ac:dyDescent="0.3">
      <c r="A47" s="62" t="s">
        <v>53</v>
      </c>
      <c r="B47" s="63" t="s">
        <v>122</v>
      </c>
      <c r="C47" s="64" t="s">
        <v>18</v>
      </c>
      <c r="D47" s="64">
        <v>104.8</v>
      </c>
      <c r="E47" s="85"/>
      <c r="F47" s="85"/>
      <c r="G47" s="85">
        <v>524.04</v>
      </c>
      <c r="H47" s="85"/>
      <c r="I47" s="86"/>
      <c r="J47" s="86">
        <f>G47*D47</f>
        <v>54919.391999999993</v>
      </c>
      <c r="K47" s="67" t="s">
        <v>299</v>
      </c>
      <c r="L47" s="67" t="s">
        <v>338</v>
      </c>
      <c r="M47" s="3"/>
      <c r="N47" s="19"/>
    </row>
    <row r="48" spans="1:14" s="10" customFormat="1" hidden="1" outlineLevel="2" x14ac:dyDescent="0.3">
      <c r="A48" s="62" t="s">
        <v>54</v>
      </c>
      <c r="B48" s="63" t="s">
        <v>222</v>
      </c>
      <c r="C48" s="64" t="s">
        <v>16</v>
      </c>
      <c r="D48" s="64">
        <v>11004</v>
      </c>
      <c r="E48" s="85"/>
      <c r="F48" s="85"/>
      <c r="G48" s="85">
        <v>12.8</v>
      </c>
      <c r="H48" s="85"/>
      <c r="I48" s="86"/>
      <c r="J48" s="86">
        <f>G48*D48</f>
        <v>140851.20000000001</v>
      </c>
      <c r="K48" s="67" t="s">
        <v>431</v>
      </c>
      <c r="L48" s="67" t="s">
        <v>338</v>
      </c>
      <c r="M48" s="3"/>
    </row>
    <row r="49" spans="1:14" s="11" customFormat="1" ht="13.8" collapsed="1" x14ac:dyDescent="0.3">
      <c r="A49" s="71">
        <v>4</v>
      </c>
      <c r="B49" s="72" t="s">
        <v>19</v>
      </c>
      <c r="C49" s="73"/>
      <c r="D49" s="71"/>
      <c r="E49" s="74"/>
      <c r="F49" s="74"/>
      <c r="G49" s="74"/>
      <c r="H49" s="74"/>
      <c r="I49" s="74"/>
      <c r="J49" s="74">
        <f>J50</f>
        <v>63313.664199999999</v>
      </c>
      <c r="K49" s="34"/>
      <c r="L49" s="34"/>
      <c r="M49" s="54"/>
    </row>
    <row r="50" spans="1:14" s="10" customFormat="1" hidden="1" outlineLevel="1" x14ac:dyDescent="0.3">
      <c r="A50" s="80" t="s">
        <v>55</v>
      </c>
      <c r="B50" s="81" t="s">
        <v>175</v>
      </c>
      <c r="C50" s="143"/>
      <c r="D50" s="82"/>
      <c r="E50" s="83"/>
      <c r="F50" s="83"/>
      <c r="G50" s="83"/>
      <c r="H50" s="83"/>
      <c r="I50" s="83"/>
      <c r="J50" s="94">
        <f>SUM(J51:J55)</f>
        <v>63313.664199999999</v>
      </c>
      <c r="K50" s="84"/>
      <c r="L50" s="84"/>
      <c r="M50" s="13"/>
      <c r="N50" s="19"/>
    </row>
    <row r="51" spans="1:14" s="10" customFormat="1" hidden="1" outlineLevel="2" x14ac:dyDescent="0.3">
      <c r="A51" s="62" t="s">
        <v>92</v>
      </c>
      <c r="B51" s="63" t="s">
        <v>205</v>
      </c>
      <c r="C51" s="64" t="s">
        <v>5</v>
      </c>
      <c r="D51" s="64">
        <f>25.9+152.7+170+9.15+9.15+2.6</f>
        <v>369.5</v>
      </c>
      <c r="E51" s="85"/>
      <c r="F51" s="85"/>
      <c r="G51" s="85">
        <v>103.83</v>
      </c>
      <c r="H51" s="85"/>
      <c r="I51" s="86"/>
      <c r="J51" s="86">
        <f>G51*D51</f>
        <v>38365.184999999998</v>
      </c>
      <c r="K51" s="67" t="s">
        <v>301</v>
      </c>
      <c r="L51" s="67" t="s">
        <v>338</v>
      </c>
      <c r="M51" s="13"/>
    </row>
    <row r="52" spans="1:14" s="10" customFormat="1" hidden="1" outlineLevel="2" x14ac:dyDescent="0.3">
      <c r="A52" s="62" t="s">
        <v>243</v>
      </c>
      <c r="B52" s="63" t="s">
        <v>244</v>
      </c>
      <c r="C52" s="64" t="s">
        <v>5</v>
      </c>
      <c r="D52" s="64">
        <v>21.29</v>
      </c>
      <c r="E52" s="85"/>
      <c r="F52" s="85"/>
      <c r="G52" s="85">
        <v>87.13</v>
      </c>
      <c r="H52" s="85"/>
      <c r="I52" s="86"/>
      <c r="J52" s="86">
        <f t="shared" ref="J52:J54" si="3">G52*D52</f>
        <v>1854.9976999999999</v>
      </c>
      <c r="K52" s="67" t="s">
        <v>302</v>
      </c>
      <c r="L52" s="67" t="s">
        <v>338</v>
      </c>
      <c r="M52" s="13"/>
    </row>
    <row r="53" spans="1:14" s="10" customFormat="1" hidden="1" outlineLevel="2" x14ac:dyDescent="0.3">
      <c r="A53" s="62" t="s">
        <v>245</v>
      </c>
      <c r="B53" s="63" t="s">
        <v>164</v>
      </c>
      <c r="C53" s="64" t="s">
        <v>8</v>
      </c>
      <c r="D53" s="64">
        <f>0.7+1.76</f>
        <v>2.46</v>
      </c>
      <c r="E53" s="85"/>
      <c r="F53" s="85"/>
      <c r="G53" s="85">
        <v>1885.31</v>
      </c>
      <c r="H53" s="85"/>
      <c r="I53" s="86"/>
      <c r="J53" s="86">
        <f t="shared" si="3"/>
        <v>4637.8625999999995</v>
      </c>
      <c r="K53" s="67" t="s">
        <v>303</v>
      </c>
      <c r="L53" s="67" t="s">
        <v>338</v>
      </c>
      <c r="M53" s="13"/>
    </row>
    <row r="54" spans="1:14" s="10" customFormat="1" hidden="1" outlineLevel="2" x14ac:dyDescent="0.3">
      <c r="A54" s="62" t="s">
        <v>93</v>
      </c>
      <c r="B54" s="63" t="s">
        <v>551</v>
      </c>
      <c r="C54" s="64" t="s">
        <v>20</v>
      </c>
      <c r="D54" s="64">
        <v>20</v>
      </c>
      <c r="E54" s="85"/>
      <c r="F54" s="85"/>
      <c r="G54" s="85">
        <v>152.66999999999999</v>
      </c>
      <c r="H54" s="85"/>
      <c r="I54" s="86"/>
      <c r="J54" s="86">
        <f t="shared" si="3"/>
        <v>3053.3999999999996</v>
      </c>
      <c r="K54" s="67" t="s">
        <v>341</v>
      </c>
      <c r="L54" s="67" t="s">
        <v>340</v>
      </c>
      <c r="M54" s="3"/>
    </row>
    <row r="55" spans="1:14" s="10" customFormat="1" hidden="1" outlineLevel="2" x14ac:dyDescent="0.3">
      <c r="A55" s="62" t="s">
        <v>129</v>
      </c>
      <c r="B55" s="63" t="s">
        <v>489</v>
      </c>
      <c r="C55" s="64" t="s">
        <v>5</v>
      </c>
      <c r="D55" s="64">
        <f>22.35+25.45+24.21</f>
        <v>72.009999999999991</v>
      </c>
      <c r="E55" s="85"/>
      <c r="F55" s="85"/>
      <c r="G55" s="85">
        <v>213.89</v>
      </c>
      <c r="H55" s="85"/>
      <c r="I55" s="86"/>
      <c r="J55" s="86">
        <f>G55*D55</f>
        <v>15402.218899999996</v>
      </c>
      <c r="K55" s="67" t="s">
        <v>339</v>
      </c>
      <c r="L55" s="67" t="s">
        <v>340</v>
      </c>
      <c r="M55" s="3"/>
    </row>
    <row r="56" spans="1:14" s="10" customFormat="1" collapsed="1" x14ac:dyDescent="0.3">
      <c r="A56" s="71">
        <v>5</v>
      </c>
      <c r="B56" s="72" t="s">
        <v>76</v>
      </c>
      <c r="C56" s="73"/>
      <c r="D56" s="71"/>
      <c r="E56" s="74"/>
      <c r="F56" s="74"/>
      <c r="G56" s="74"/>
      <c r="H56" s="74"/>
      <c r="I56" s="74"/>
      <c r="J56" s="74">
        <f>J57+J63</f>
        <v>66314.164858000004</v>
      </c>
      <c r="K56" s="34"/>
      <c r="L56" s="34"/>
      <c r="M56" s="13"/>
    </row>
    <row r="57" spans="1:14" s="10" customFormat="1" hidden="1" outlineLevel="1" x14ac:dyDescent="0.3">
      <c r="A57" s="80" t="s">
        <v>56</v>
      </c>
      <c r="B57" s="81" t="s">
        <v>176</v>
      </c>
      <c r="C57" s="82"/>
      <c r="D57" s="82"/>
      <c r="E57" s="83"/>
      <c r="F57" s="83"/>
      <c r="G57" s="83"/>
      <c r="H57" s="83"/>
      <c r="I57" s="83"/>
      <c r="J57" s="94">
        <f>SUM(J58:J62)</f>
        <v>40873.735858</v>
      </c>
      <c r="K57" s="84"/>
      <c r="L57" s="84"/>
      <c r="M57" s="13"/>
    </row>
    <row r="58" spans="1:14" s="14" customFormat="1" ht="43.2" hidden="1" outlineLevel="2" x14ac:dyDescent="0.3">
      <c r="A58" s="62" t="s">
        <v>144</v>
      </c>
      <c r="B58" s="63" t="s">
        <v>259</v>
      </c>
      <c r="C58" s="64" t="s">
        <v>5</v>
      </c>
      <c r="D58" s="64">
        <f>200+200+118+8.2</f>
        <v>526.20000000000005</v>
      </c>
      <c r="E58" s="136"/>
      <c r="F58" s="137"/>
      <c r="G58" s="136">
        <v>44.06</v>
      </c>
      <c r="H58" s="136"/>
      <c r="I58" s="138"/>
      <c r="J58" s="123">
        <f>G58*D58</f>
        <v>23184.372000000003</v>
      </c>
      <c r="K58" s="139" t="s">
        <v>304</v>
      </c>
      <c r="L58" s="67" t="s">
        <v>338</v>
      </c>
      <c r="M58" s="55"/>
    </row>
    <row r="59" spans="1:14" hidden="1" outlineLevel="2" x14ac:dyDescent="0.3">
      <c r="A59" s="62" t="s">
        <v>143</v>
      </c>
      <c r="B59" s="63" t="s">
        <v>261</v>
      </c>
      <c r="C59" s="64" t="s">
        <v>5</v>
      </c>
      <c r="D59" s="64">
        <f>12+15</f>
        <v>27</v>
      </c>
      <c r="E59" s="140"/>
      <c r="F59" s="140"/>
      <c r="G59" s="140">
        <v>481.09</v>
      </c>
      <c r="H59" s="140"/>
      <c r="I59" s="141"/>
      <c r="J59" s="123">
        <f>G59*D59</f>
        <v>12989.429999999998</v>
      </c>
      <c r="K59" s="142" t="s">
        <v>305</v>
      </c>
      <c r="L59" s="67" t="s">
        <v>338</v>
      </c>
      <c r="M59" s="3"/>
    </row>
    <row r="60" spans="1:14" s="10" customFormat="1" ht="28.8" hidden="1" outlineLevel="2" x14ac:dyDescent="0.3">
      <c r="A60" s="62" t="s">
        <v>145</v>
      </c>
      <c r="B60" s="63" t="s">
        <v>260</v>
      </c>
      <c r="C60" s="64" t="s">
        <v>5</v>
      </c>
      <c r="D60" s="64">
        <f>5.84+5.84</f>
        <v>11.68</v>
      </c>
      <c r="E60" s="140"/>
      <c r="F60" s="140"/>
      <c r="G60" s="140">
        <v>280.89</v>
      </c>
      <c r="H60" s="140"/>
      <c r="I60" s="141"/>
      <c r="J60" s="123">
        <f t="shared" ref="J60" si="4">G60*D60</f>
        <v>3280.7951999999996</v>
      </c>
      <c r="K60" s="142" t="s">
        <v>306</v>
      </c>
      <c r="L60" s="67" t="s">
        <v>338</v>
      </c>
      <c r="M60" s="13"/>
    </row>
    <row r="61" spans="1:14" ht="28.8" hidden="1" outlineLevel="2" x14ac:dyDescent="0.3">
      <c r="A61" s="62" t="s">
        <v>146</v>
      </c>
      <c r="B61" s="63" t="s">
        <v>262</v>
      </c>
      <c r="C61" s="64" t="s">
        <v>5</v>
      </c>
      <c r="D61" s="64">
        <f>(3.3+4.6+6.06+3.6)*0.07</f>
        <v>1.2292000000000001</v>
      </c>
      <c r="E61" s="140"/>
      <c r="F61" s="140"/>
      <c r="G61" s="140">
        <v>481.09</v>
      </c>
      <c r="H61" s="140"/>
      <c r="I61" s="141"/>
      <c r="J61" s="123">
        <f>G61*D61</f>
        <v>591.35582799999997</v>
      </c>
      <c r="K61" s="142" t="s">
        <v>305</v>
      </c>
      <c r="L61" s="67" t="s">
        <v>338</v>
      </c>
      <c r="M61" s="3"/>
    </row>
    <row r="62" spans="1:14" hidden="1" outlineLevel="2" x14ac:dyDescent="0.3">
      <c r="A62" s="62" t="s">
        <v>147</v>
      </c>
      <c r="B62" s="63" t="s">
        <v>246</v>
      </c>
      <c r="C62" s="64" t="s">
        <v>5</v>
      </c>
      <c r="D62" s="64">
        <f>6*5.6*0.07+2*5.7*0.07+6.7*0.07-12*0.6*0.07-3*0.8*0.07</f>
        <v>2.9469999999999996</v>
      </c>
      <c r="E62" s="140"/>
      <c r="F62" s="140"/>
      <c r="G62" s="140">
        <v>280.89</v>
      </c>
      <c r="H62" s="140"/>
      <c r="I62" s="141"/>
      <c r="J62" s="123">
        <f t="shared" ref="J62" si="5">G62*D62</f>
        <v>827.78282999999988</v>
      </c>
      <c r="K62" s="142" t="s">
        <v>306</v>
      </c>
      <c r="L62" s="67" t="s">
        <v>338</v>
      </c>
      <c r="M62" s="3"/>
    </row>
    <row r="63" spans="1:14" s="10" customFormat="1" hidden="1" outlineLevel="1" x14ac:dyDescent="0.3">
      <c r="A63" s="80" t="s">
        <v>57</v>
      </c>
      <c r="B63" s="81" t="s">
        <v>177</v>
      </c>
      <c r="C63" s="143"/>
      <c r="D63" s="80"/>
      <c r="E63" s="83"/>
      <c r="F63" s="83"/>
      <c r="G63" s="144"/>
      <c r="H63" s="144"/>
      <c r="I63" s="83"/>
      <c r="J63" s="94">
        <f>J64</f>
        <v>25440.429</v>
      </c>
      <c r="K63" s="84"/>
      <c r="L63" s="84"/>
      <c r="M63" s="13"/>
    </row>
    <row r="64" spans="1:14" hidden="1" outlineLevel="2" x14ac:dyDescent="0.3">
      <c r="A64" s="62" t="s">
        <v>161</v>
      </c>
      <c r="B64" s="63" t="s">
        <v>219</v>
      </c>
      <c r="C64" s="64" t="s">
        <v>5</v>
      </c>
      <c r="D64" s="64">
        <v>30.05</v>
      </c>
      <c r="E64" s="86"/>
      <c r="F64" s="85"/>
      <c r="G64" s="145">
        <v>65.099999999999994</v>
      </c>
      <c r="H64" s="146"/>
      <c r="I64" s="86"/>
      <c r="J64" s="86">
        <f>G64*D66</f>
        <v>25440.429</v>
      </c>
      <c r="K64" s="67" t="s">
        <v>307</v>
      </c>
      <c r="L64" s="67" t="s">
        <v>338</v>
      </c>
      <c r="M64" s="3"/>
    </row>
    <row r="65" spans="1:20" s="10" customFormat="1" collapsed="1" x14ac:dyDescent="0.3">
      <c r="A65" s="71">
        <v>6</v>
      </c>
      <c r="B65" s="72" t="s">
        <v>138</v>
      </c>
      <c r="C65" s="88"/>
      <c r="D65" s="73"/>
      <c r="E65" s="74"/>
      <c r="F65" s="74"/>
      <c r="G65" s="74"/>
      <c r="H65" s="74"/>
      <c r="I65" s="74"/>
      <c r="J65" s="132">
        <f>SUM(J66:J70)</f>
        <v>64161.978900000002</v>
      </c>
      <c r="K65" s="133"/>
      <c r="L65" s="133"/>
      <c r="M65" s="13"/>
    </row>
    <row r="66" spans="1:20" s="10" customFormat="1" hidden="1" outlineLevel="2" x14ac:dyDescent="0.3">
      <c r="A66" s="62" t="s">
        <v>58</v>
      </c>
      <c r="B66" s="103" t="s">
        <v>21</v>
      </c>
      <c r="C66" s="64" t="s">
        <v>5</v>
      </c>
      <c r="D66" s="64">
        <f>D51+D52</f>
        <v>390.79</v>
      </c>
      <c r="E66" s="135"/>
      <c r="F66" s="135"/>
      <c r="G66" s="85">
        <v>8.44</v>
      </c>
      <c r="H66" s="85"/>
      <c r="I66" s="85"/>
      <c r="J66" s="85">
        <f t="shared" ref="J66:J70" si="6">G66*D66</f>
        <v>3298.2676000000001</v>
      </c>
      <c r="K66" s="131" t="s">
        <v>308</v>
      </c>
      <c r="L66" s="67" t="s">
        <v>338</v>
      </c>
      <c r="M66" s="3"/>
      <c r="N66" s="29"/>
      <c r="O66" s="29"/>
      <c r="P66" s="29"/>
      <c r="Q66" s="29"/>
      <c r="R66" s="29"/>
      <c r="S66" s="29"/>
      <c r="T66" s="29"/>
    </row>
    <row r="67" spans="1:20" s="10" customFormat="1" hidden="1" outlineLevel="2" x14ac:dyDescent="0.3">
      <c r="A67" s="62" t="s">
        <v>59</v>
      </c>
      <c r="B67" s="103" t="s">
        <v>158</v>
      </c>
      <c r="C67" s="64" t="s">
        <v>5</v>
      </c>
      <c r="D67" s="64">
        <f>D51+D52</f>
        <v>390.79</v>
      </c>
      <c r="E67" s="135"/>
      <c r="F67" s="135"/>
      <c r="G67" s="85">
        <v>42.82</v>
      </c>
      <c r="H67" s="85"/>
      <c r="I67" s="85"/>
      <c r="J67" s="85">
        <f t="shared" si="6"/>
        <v>16733.627800000002</v>
      </c>
      <c r="K67" s="131" t="s">
        <v>309</v>
      </c>
      <c r="L67" s="67" t="s">
        <v>338</v>
      </c>
      <c r="M67" s="3"/>
      <c r="N67" s="30"/>
      <c r="O67" s="29"/>
      <c r="P67" s="29"/>
      <c r="Q67" s="29"/>
      <c r="R67" s="30"/>
      <c r="S67" s="30"/>
      <c r="T67" s="30"/>
    </row>
    <row r="68" spans="1:20" s="10" customFormat="1" ht="30" hidden="1" customHeight="1" outlineLevel="2" x14ac:dyDescent="0.3">
      <c r="A68" s="62" t="s">
        <v>60</v>
      </c>
      <c r="B68" s="103" t="s">
        <v>159</v>
      </c>
      <c r="C68" s="64" t="s">
        <v>5</v>
      </c>
      <c r="D68" s="64">
        <f>D51+D52</f>
        <v>390.79</v>
      </c>
      <c r="E68" s="85"/>
      <c r="F68" s="85"/>
      <c r="G68" s="85">
        <v>31.62</v>
      </c>
      <c r="H68" s="85"/>
      <c r="I68" s="85"/>
      <c r="J68" s="85">
        <f t="shared" si="6"/>
        <v>12356.7798</v>
      </c>
      <c r="K68" s="131" t="s">
        <v>310</v>
      </c>
      <c r="L68" s="67" t="s">
        <v>338</v>
      </c>
      <c r="M68" s="3"/>
    </row>
    <row r="69" spans="1:20" s="10" customFormat="1" hidden="1" outlineLevel="2" x14ac:dyDescent="0.3">
      <c r="A69" s="62" t="s">
        <v>206</v>
      </c>
      <c r="B69" s="63" t="s">
        <v>272</v>
      </c>
      <c r="C69" s="64" t="s">
        <v>5</v>
      </c>
      <c r="D69" s="64">
        <v>80.64</v>
      </c>
      <c r="E69" s="85"/>
      <c r="F69" s="85"/>
      <c r="G69" s="85">
        <v>185.96</v>
      </c>
      <c r="H69" s="85"/>
      <c r="I69" s="85"/>
      <c r="J69" s="85">
        <f t="shared" si="6"/>
        <v>14995.814400000001</v>
      </c>
      <c r="K69" s="131" t="s">
        <v>311</v>
      </c>
      <c r="L69" s="67" t="s">
        <v>338</v>
      </c>
      <c r="M69" s="29"/>
      <c r="N69" s="29"/>
      <c r="O69" s="29"/>
      <c r="P69" s="29"/>
      <c r="Q69" s="29"/>
      <c r="R69" s="29"/>
      <c r="S69" s="29"/>
      <c r="T69" s="29"/>
    </row>
    <row r="70" spans="1:20" s="10" customFormat="1" ht="28.8" hidden="1" outlineLevel="2" x14ac:dyDescent="0.3">
      <c r="A70" s="62" t="s">
        <v>61</v>
      </c>
      <c r="B70" s="63" t="s">
        <v>273</v>
      </c>
      <c r="C70" s="64" t="s">
        <v>22</v>
      </c>
      <c r="D70" s="64">
        <f>5.04+184.3+152.7+170+21.29+22.35+25.45+18.69+38.35</f>
        <v>638.17000000000007</v>
      </c>
      <c r="E70" s="85"/>
      <c r="F70" s="85"/>
      <c r="G70" s="85">
        <v>26.29</v>
      </c>
      <c r="H70" s="85"/>
      <c r="I70" s="85"/>
      <c r="J70" s="85">
        <f t="shared" si="6"/>
        <v>16777.489300000001</v>
      </c>
      <c r="K70" s="131" t="s">
        <v>312</v>
      </c>
      <c r="L70" s="67" t="s">
        <v>338</v>
      </c>
      <c r="M70" s="3"/>
      <c r="N70" s="30"/>
      <c r="O70" s="29"/>
      <c r="P70" s="29"/>
      <c r="Q70" s="29"/>
      <c r="R70" s="30"/>
      <c r="S70" s="30"/>
      <c r="T70" s="30"/>
    </row>
    <row r="71" spans="1:20" s="12" customFormat="1" collapsed="1" x14ac:dyDescent="0.3">
      <c r="A71" s="71">
        <v>7</v>
      </c>
      <c r="B71" s="72" t="s">
        <v>142</v>
      </c>
      <c r="C71" s="88"/>
      <c r="D71" s="71"/>
      <c r="E71" s="74"/>
      <c r="F71" s="74"/>
      <c r="G71" s="74"/>
      <c r="H71" s="74"/>
      <c r="I71" s="74"/>
      <c r="J71" s="132">
        <f>SUM(J72:J74)</f>
        <v>197078.14300000001</v>
      </c>
      <c r="K71" s="133"/>
      <c r="L71" s="133"/>
      <c r="M71" s="57"/>
    </row>
    <row r="72" spans="1:20" s="14" customFormat="1" ht="28.8" hidden="1" outlineLevel="2" x14ac:dyDescent="0.3">
      <c r="A72" s="62" t="s">
        <v>508</v>
      </c>
      <c r="B72" s="63" t="s">
        <v>488</v>
      </c>
      <c r="C72" s="64" t="s">
        <v>5</v>
      </c>
      <c r="D72" s="64">
        <v>20</v>
      </c>
      <c r="E72" s="85"/>
      <c r="F72" s="85"/>
      <c r="G72" s="85">
        <v>498.7</v>
      </c>
      <c r="H72" s="85"/>
      <c r="I72" s="85"/>
      <c r="J72" s="134">
        <f>G72*D72</f>
        <v>9974</v>
      </c>
      <c r="K72" s="67"/>
      <c r="L72" s="67"/>
      <c r="M72" s="55"/>
    </row>
    <row r="73" spans="1:20" s="10" customFormat="1" ht="28.8" hidden="1" outlineLevel="2" x14ac:dyDescent="0.3">
      <c r="A73" s="62" t="s">
        <v>509</v>
      </c>
      <c r="B73" s="63" t="s">
        <v>487</v>
      </c>
      <c r="C73" s="64" t="s">
        <v>5</v>
      </c>
      <c r="D73" s="64">
        <f>25.9+152.7+170+21.29</f>
        <v>369.89000000000004</v>
      </c>
      <c r="E73" s="85"/>
      <c r="F73" s="85"/>
      <c r="G73" s="85">
        <v>498.7</v>
      </c>
      <c r="H73" s="85"/>
      <c r="I73" s="85"/>
      <c r="J73" s="85">
        <f>G73*D73</f>
        <v>184464.14300000001</v>
      </c>
      <c r="K73" s="131" t="s">
        <v>451</v>
      </c>
      <c r="L73" s="67" t="s">
        <v>338</v>
      </c>
      <c r="M73" s="3"/>
    </row>
    <row r="74" spans="1:20" s="10" customFormat="1" ht="28.8" hidden="1" outlineLevel="2" x14ac:dyDescent="0.3">
      <c r="A74" s="62" t="s">
        <v>510</v>
      </c>
      <c r="B74" s="63" t="s">
        <v>271</v>
      </c>
      <c r="C74" s="64" t="s">
        <v>5</v>
      </c>
      <c r="D74" s="64">
        <v>20</v>
      </c>
      <c r="E74" s="85"/>
      <c r="F74" s="85"/>
      <c r="G74" s="85">
        <v>132</v>
      </c>
      <c r="H74" s="85"/>
      <c r="I74" s="85"/>
      <c r="J74" s="85">
        <f>G74*D74</f>
        <v>2640</v>
      </c>
      <c r="K74" s="67"/>
      <c r="L74" s="67"/>
      <c r="M74" s="3"/>
    </row>
    <row r="75" spans="1:20" s="10" customFormat="1" collapsed="1" x14ac:dyDescent="0.3">
      <c r="A75" s="71">
        <v>8</v>
      </c>
      <c r="B75" s="72" t="s">
        <v>74</v>
      </c>
      <c r="C75" s="88"/>
      <c r="D75" s="73"/>
      <c r="E75" s="74"/>
      <c r="F75" s="74"/>
      <c r="G75" s="74"/>
      <c r="H75" s="74"/>
      <c r="I75" s="74"/>
      <c r="J75" s="74">
        <f>SUM(J76:J81)</f>
        <v>39836.58</v>
      </c>
      <c r="K75" s="34"/>
      <c r="L75" s="34"/>
      <c r="M75" s="13"/>
    </row>
    <row r="76" spans="1:20" s="14" customFormat="1" hidden="1" outlineLevel="2" x14ac:dyDescent="0.3">
      <c r="A76" s="62" t="s">
        <v>62</v>
      </c>
      <c r="B76" s="63" t="s">
        <v>21</v>
      </c>
      <c r="C76" s="64" t="s">
        <v>5</v>
      </c>
      <c r="D76" s="64">
        <f>D79</f>
        <v>157</v>
      </c>
      <c r="E76" s="89"/>
      <c r="F76" s="89"/>
      <c r="G76" s="85">
        <v>16.39</v>
      </c>
      <c r="H76" s="85"/>
      <c r="I76" s="86"/>
      <c r="J76" s="86">
        <f t="shared" ref="J76:J81" si="7">G76*D76</f>
        <v>2573.23</v>
      </c>
      <c r="K76" s="67" t="s">
        <v>313</v>
      </c>
      <c r="L76" s="67" t="s">
        <v>338</v>
      </c>
      <c r="M76" s="3"/>
    </row>
    <row r="77" spans="1:20" s="14" customFormat="1" hidden="1" outlineLevel="2" x14ac:dyDescent="0.3">
      <c r="A77" s="62" t="s">
        <v>63</v>
      </c>
      <c r="B77" s="63" t="s">
        <v>158</v>
      </c>
      <c r="C77" s="64" t="s">
        <v>5</v>
      </c>
      <c r="D77" s="64">
        <f>D79</f>
        <v>157</v>
      </c>
      <c r="E77" s="89"/>
      <c r="F77" s="89"/>
      <c r="G77" s="85">
        <v>46.19</v>
      </c>
      <c r="H77" s="85"/>
      <c r="I77" s="86"/>
      <c r="J77" s="86">
        <f t="shared" si="7"/>
        <v>7251.83</v>
      </c>
      <c r="K77" s="67" t="s">
        <v>314</v>
      </c>
      <c r="L77" s="67" t="s">
        <v>338</v>
      </c>
      <c r="M77" s="3"/>
    </row>
    <row r="78" spans="1:20" s="14" customFormat="1" ht="30" hidden="1" customHeight="1" outlineLevel="2" x14ac:dyDescent="0.3">
      <c r="A78" s="62" t="s">
        <v>64</v>
      </c>
      <c r="B78" s="63" t="s">
        <v>159</v>
      </c>
      <c r="C78" s="64" t="s">
        <v>5</v>
      </c>
      <c r="D78" s="64">
        <f>D79</f>
        <v>157</v>
      </c>
      <c r="E78" s="89"/>
      <c r="F78" s="89"/>
      <c r="G78" s="85">
        <v>34.869999999999997</v>
      </c>
      <c r="H78" s="85"/>
      <c r="I78" s="86"/>
      <c r="J78" s="86">
        <f t="shared" si="7"/>
        <v>5474.5899999999992</v>
      </c>
      <c r="K78" s="67" t="s">
        <v>315</v>
      </c>
      <c r="L78" s="67" t="s">
        <v>338</v>
      </c>
      <c r="M78" s="3"/>
    </row>
    <row r="79" spans="1:20" s="10" customFormat="1" hidden="1" outlineLevel="2" x14ac:dyDescent="0.3">
      <c r="A79" s="62" t="s">
        <v>120</v>
      </c>
      <c r="B79" s="63" t="s">
        <v>256</v>
      </c>
      <c r="C79" s="64" t="s">
        <v>23</v>
      </c>
      <c r="D79" s="64">
        <f>2+9+130+9+7</f>
        <v>157</v>
      </c>
      <c r="E79" s="89"/>
      <c r="F79" s="89"/>
      <c r="G79" s="85">
        <v>26.29</v>
      </c>
      <c r="H79" s="85"/>
      <c r="I79" s="86"/>
      <c r="J79" s="86">
        <f t="shared" si="7"/>
        <v>4127.53</v>
      </c>
      <c r="K79" s="67" t="s">
        <v>312</v>
      </c>
      <c r="L79" s="67" t="s">
        <v>338</v>
      </c>
      <c r="M79" s="13"/>
    </row>
    <row r="80" spans="1:20" s="10" customFormat="1" ht="28.8" hidden="1" outlineLevel="2" x14ac:dyDescent="0.3">
      <c r="A80" s="62" t="s">
        <v>212</v>
      </c>
      <c r="B80" s="63" t="s">
        <v>257</v>
      </c>
      <c r="C80" s="64" t="s">
        <v>5</v>
      </c>
      <c r="D80" s="64">
        <f>6+6</f>
        <v>12</v>
      </c>
      <c r="E80" s="89"/>
      <c r="F80" s="89"/>
      <c r="G80" s="85">
        <v>92.77</v>
      </c>
      <c r="H80" s="85"/>
      <c r="I80" s="86"/>
      <c r="J80" s="86">
        <f t="shared" si="7"/>
        <v>1113.24</v>
      </c>
      <c r="K80" s="67" t="s">
        <v>316</v>
      </c>
      <c r="L80" s="67" t="s">
        <v>338</v>
      </c>
      <c r="M80" s="13"/>
    </row>
    <row r="81" spans="1:13" s="10" customFormat="1" ht="28.8" hidden="1" outlineLevel="2" x14ac:dyDescent="0.3">
      <c r="A81" s="62" t="s">
        <v>213</v>
      </c>
      <c r="B81" s="63" t="s">
        <v>258</v>
      </c>
      <c r="C81" s="64" t="s">
        <v>5</v>
      </c>
      <c r="D81" s="64">
        <f>32+176</f>
        <v>208</v>
      </c>
      <c r="E81" s="89"/>
      <c r="F81" s="89"/>
      <c r="G81" s="85">
        <v>92.77</v>
      </c>
      <c r="H81" s="85"/>
      <c r="I81" s="86"/>
      <c r="J81" s="86">
        <f t="shared" si="7"/>
        <v>19296.16</v>
      </c>
      <c r="K81" s="67" t="s">
        <v>316</v>
      </c>
      <c r="L81" s="67" t="s">
        <v>338</v>
      </c>
      <c r="M81" s="13"/>
    </row>
    <row r="82" spans="1:13" s="10" customFormat="1" collapsed="1" x14ac:dyDescent="0.3">
      <c r="A82" s="71">
        <v>9</v>
      </c>
      <c r="B82" s="72" t="s">
        <v>247</v>
      </c>
      <c r="C82" s="73"/>
      <c r="D82" s="71"/>
      <c r="E82" s="74"/>
      <c r="F82" s="74"/>
      <c r="G82" s="74"/>
      <c r="H82" s="74"/>
      <c r="I82" s="74"/>
      <c r="J82" s="74">
        <f>J83+J89+J92</f>
        <v>222676.97999999998</v>
      </c>
      <c r="K82" s="34"/>
      <c r="L82" s="34"/>
      <c r="M82" s="13"/>
    </row>
    <row r="83" spans="1:13" s="10" customFormat="1" hidden="1" outlineLevel="1" x14ac:dyDescent="0.3">
      <c r="A83" s="80" t="s">
        <v>227</v>
      </c>
      <c r="B83" s="81" t="s">
        <v>242</v>
      </c>
      <c r="C83" s="90"/>
      <c r="D83" s="90"/>
      <c r="E83" s="83"/>
      <c r="F83" s="83"/>
      <c r="G83" s="83"/>
      <c r="H83" s="83"/>
      <c r="I83" s="83"/>
      <c r="J83" s="94">
        <f>SUM(J84:J88)</f>
        <v>149959.06</v>
      </c>
      <c r="K83" s="84"/>
      <c r="L83" s="84"/>
      <c r="M83" s="13"/>
    </row>
    <row r="84" spans="1:13" s="10" customFormat="1" hidden="1" outlineLevel="2" x14ac:dyDescent="0.3">
      <c r="A84" s="62" t="s">
        <v>228</v>
      </c>
      <c r="B84" s="63" t="s">
        <v>263</v>
      </c>
      <c r="C84" s="64" t="s">
        <v>5</v>
      </c>
      <c r="D84" s="64">
        <v>16</v>
      </c>
      <c r="E84" s="89"/>
      <c r="F84" s="89"/>
      <c r="G84" s="85">
        <v>755.09</v>
      </c>
      <c r="H84" s="85"/>
      <c r="I84" s="86"/>
      <c r="J84" s="123">
        <f>G84*D84</f>
        <v>12081.44</v>
      </c>
      <c r="K84" s="67" t="s">
        <v>317</v>
      </c>
      <c r="L84" s="67" t="s">
        <v>338</v>
      </c>
      <c r="M84" s="13"/>
    </row>
    <row r="85" spans="1:13" s="10" customFormat="1" hidden="1" outlineLevel="2" x14ac:dyDescent="0.3">
      <c r="A85" s="62" t="s">
        <v>229</v>
      </c>
      <c r="B85" s="63" t="s">
        <v>264</v>
      </c>
      <c r="C85" s="64" t="s">
        <v>5</v>
      </c>
      <c r="D85" s="64">
        <v>92</v>
      </c>
      <c r="E85" s="89"/>
      <c r="F85" s="89"/>
      <c r="G85" s="85">
        <v>755.09</v>
      </c>
      <c r="H85" s="85"/>
      <c r="I85" s="86"/>
      <c r="J85" s="123">
        <f>G85*D85</f>
        <v>69468.28</v>
      </c>
      <c r="K85" s="67" t="s">
        <v>317</v>
      </c>
      <c r="L85" s="67" t="s">
        <v>338</v>
      </c>
      <c r="M85" s="13"/>
    </row>
    <row r="86" spans="1:13" s="10" customFormat="1" hidden="1" outlineLevel="2" x14ac:dyDescent="0.3">
      <c r="A86" s="62" t="s">
        <v>230</v>
      </c>
      <c r="B86" s="63" t="s">
        <v>265</v>
      </c>
      <c r="C86" s="64" t="s">
        <v>5</v>
      </c>
      <c r="D86" s="64">
        <v>5</v>
      </c>
      <c r="E86" s="89"/>
      <c r="F86" s="89"/>
      <c r="G86" s="85">
        <v>1094.77</v>
      </c>
      <c r="H86" s="85"/>
      <c r="I86" s="86"/>
      <c r="J86" s="123">
        <f>G86*D86</f>
        <v>5473.85</v>
      </c>
      <c r="K86" s="67" t="s">
        <v>318</v>
      </c>
      <c r="L86" s="67" t="s">
        <v>338</v>
      </c>
      <c r="M86" s="3"/>
    </row>
    <row r="87" spans="1:13" s="10" customFormat="1" hidden="1" outlineLevel="2" x14ac:dyDescent="0.3">
      <c r="A87" s="62" t="s">
        <v>231</v>
      </c>
      <c r="B87" s="63" t="s">
        <v>266</v>
      </c>
      <c r="C87" s="64" t="s">
        <v>5</v>
      </c>
      <c r="D87" s="64">
        <v>82</v>
      </c>
      <c r="E87" s="89"/>
      <c r="F87" s="89"/>
      <c r="G87" s="85">
        <v>755.09</v>
      </c>
      <c r="H87" s="85"/>
      <c r="I87" s="86"/>
      <c r="J87" s="123">
        <f>G87*D87</f>
        <v>61917.380000000005</v>
      </c>
      <c r="K87" s="67" t="s">
        <v>317</v>
      </c>
      <c r="L87" s="67" t="s">
        <v>338</v>
      </c>
      <c r="M87" s="13"/>
    </row>
    <row r="88" spans="1:13" s="10" customFormat="1" hidden="1" outlineLevel="2" x14ac:dyDescent="0.3">
      <c r="A88" s="62" t="s">
        <v>232</v>
      </c>
      <c r="B88" s="63" t="s">
        <v>267</v>
      </c>
      <c r="C88" s="64" t="s">
        <v>6</v>
      </c>
      <c r="D88" s="64">
        <v>1</v>
      </c>
      <c r="E88" s="89"/>
      <c r="F88" s="89"/>
      <c r="G88" s="85">
        <v>1018.11</v>
      </c>
      <c r="H88" s="85"/>
      <c r="I88" s="86"/>
      <c r="J88" s="123">
        <f>G88*D88</f>
        <v>1018.11</v>
      </c>
      <c r="K88" s="67" t="s">
        <v>319</v>
      </c>
      <c r="L88" s="67" t="s">
        <v>338</v>
      </c>
      <c r="M88" s="13"/>
    </row>
    <row r="89" spans="1:13" s="10" customFormat="1" hidden="1" outlineLevel="1" x14ac:dyDescent="0.3">
      <c r="A89" s="80" t="s">
        <v>233</v>
      </c>
      <c r="B89" s="81" t="s">
        <v>241</v>
      </c>
      <c r="C89" s="82"/>
      <c r="D89" s="90"/>
      <c r="E89" s="83"/>
      <c r="F89" s="83"/>
      <c r="G89" s="83"/>
      <c r="H89" s="83"/>
      <c r="I89" s="83"/>
      <c r="J89" s="94">
        <f>SUM(J90:J91)</f>
        <v>3526.56</v>
      </c>
      <c r="K89" s="84"/>
      <c r="L89" s="84"/>
      <c r="M89" s="13"/>
    </row>
    <row r="90" spans="1:13" s="10" customFormat="1" hidden="1" outlineLevel="2" x14ac:dyDescent="0.3">
      <c r="A90" s="62" t="s">
        <v>234</v>
      </c>
      <c r="B90" s="63" t="s">
        <v>320</v>
      </c>
      <c r="C90" s="64" t="s">
        <v>24</v>
      </c>
      <c r="D90" s="64">
        <f>1+1+1</f>
        <v>3</v>
      </c>
      <c r="E90" s="89"/>
      <c r="F90" s="89"/>
      <c r="G90" s="85">
        <v>391.84</v>
      </c>
      <c r="H90" s="85"/>
      <c r="I90" s="86"/>
      <c r="J90" s="123">
        <f>G90*D90</f>
        <v>1175.52</v>
      </c>
      <c r="K90" s="67" t="s">
        <v>322</v>
      </c>
      <c r="L90" s="67" t="s">
        <v>338</v>
      </c>
      <c r="M90" s="13"/>
    </row>
    <row r="91" spans="1:13" s="10" customFormat="1" hidden="1" outlineLevel="2" x14ac:dyDescent="0.3">
      <c r="A91" s="62" t="s">
        <v>235</v>
      </c>
      <c r="B91" s="63" t="s">
        <v>321</v>
      </c>
      <c r="C91" s="64" t="s">
        <v>25</v>
      </c>
      <c r="D91" s="64">
        <f>2+2+2</f>
        <v>6</v>
      </c>
      <c r="E91" s="89"/>
      <c r="F91" s="89"/>
      <c r="G91" s="85">
        <v>391.84</v>
      </c>
      <c r="H91" s="85"/>
      <c r="I91" s="86"/>
      <c r="J91" s="123">
        <f>G91*D91</f>
        <v>2351.04</v>
      </c>
      <c r="K91" s="67" t="s">
        <v>322</v>
      </c>
      <c r="L91" s="67" t="s">
        <v>338</v>
      </c>
      <c r="M91" s="3"/>
    </row>
    <row r="92" spans="1:13" s="10" customFormat="1" hidden="1" outlineLevel="1" x14ac:dyDescent="0.3">
      <c r="A92" s="80" t="s">
        <v>236</v>
      </c>
      <c r="B92" s="81" t="s">
        <v>240</v>
      </c>
      <c r="C92" s="82"/>
      <c r="D92" s="90"/>
      <c r="E92" s="83"/>
      <c r="F92" s="83"/>
      <c r="G92" s="83"/>
      <c r="H92" s="83"/>
      <c r="I92" s="83"/>
      <c r="J92" s="94">
        <f>SUM(J93:J95)</f>
        <v>69191.359999999986</v>
      </c>
      <c r="K92" s="84"/>
      <c r="L92" s="84"/>
      <c r="M92" s="13"/>
    </row>
    <row r="93" spans="1:13" s="10" customFormat="1" hidden="1" outlineLevel="2" x14ac:dyDescent="0.3">
      <c r="A93" s="62" t="s">
        <v>237</v>
      </c>
      <c r="B93" s="63" t="s">
        <v>268</v>
      </c>
      <c r="C93" s="64" t="s">
        <v>5</v>
      </c>
      <c r="D93" s="64">
        <f>16+92</f>
        <v>108</v>
      </c>
      <c r="E93" s="89"/>
      <c r="F93" s="89"/>
      <c r="G93" s="85">
        <v>529.16999999999996</v>
      </c>
      <c r="H93" s="85"/>
      <c r="I93" s="86"/>
      <c r="J93" s="86">
        <f>G93*D93</f>
        <v>57150.359999999993</v>
      </c>
      <c r="K93" s="67" t="s">
        <v>323</v>
      </c>
      <c r="L93" s="67" t="s">
        <v>338</v>
      </c>
      <c r="M93" s="13"/>
    </row>
    <row r="94" spans="1:13" s="10" customFormat="1" hidden="1" outlineLevel="2" x14ac:dyDescent="0.3">
      <c r="A94" s="62" t="s">
        <v>238</v>
      </c>
      <c r="B94" s="63" t="s">
        <v>269</v>
      </c>
      <c r="C94" s="64" t="s">
        <v>10</v>
      </c>
      <c r="D94" s="64">
        <v>5</v>
      </c>
      <c r="E94" s="89"/>
      <c r="F94" s="89"/>
      <c r="G94" s="85">
        <v>481.64</v>
      </c>
      <c r="H94" s="85"/>
      <c r="I94" s="86"/>
      <c r="J94" s="86">
        <f>G94*D94</f>
        <v>2408.1999999999998</v>
      </c>
      <c r="K94" s="67" t="s">
        <v>324</v>
      </c>
      <c r="L94" s="67" t="s">
        <v>338</v>
      </c>
      <c r="M94" s="13"/>
    </row>
    <row r="95" spans="1:13" s="10" customFormat="1" hidden="1" outlineLevel="2" x14ac:dyDescent="0.3">
      <c r="A95" s="62" t="s">
        <v>239</v>
      </c>
      <c r="B95" s="63" t="s">
        <v>270</v>
      </c>
      <c r="C95" s="64" t="s">
        <v>10</v>
      </c>
      <c r="D95" s="64">
        <v>20</v>
      </c>
      <c r="E95" s="89"/>
      <c r="F95" s="89"/>
      <c r="G95" s="85">
        <v>481.64</v>
      </c>
      <c r="H95" s="85"/>
      <c r="I95" s="86"/>
      <c r="J95" s="86">
        <f>G95*D95</f>
        <v>9632.7999999999993</v>
      </c>
      <c r="K95" s="67" t="s">
        <v>324</v>
      </c>
      <c r="L95" s="67" t="s">
        <v>338</v>
      </c>
      <c r="M95" s="13"/>
    </row>
    <row r="96" spans="1:13" s="10" customFormat="1" collapsed="1" x14ac:dyDescent="0.3">
      <c r="A96" s="71">
        <v>10</v>
      </c>
      <c r="B96" s="72" t="s">
        <v>65</v>
      </c>
      <c r="C96" s="73"/>
      <c r="D96" s="71"/>
      <c r="E96" s="74"/>
      <c r="F96" s="74"/>
      <c r="G96" s="74"/>
      <c r="H96" s="74"/>
      <c r="I96" s="74"/>
      <c r="J96" s="74">
        <f>J97+J101</f>
        <v>10633.036</v>
      </c>
      <c r="K96" s="34"/>
      <c r="L96" s="34"/>
      <c r="M96" s="13"/>
    </row>
    <row r="97" spans="1:13" s="10" customFormat="1" hidden="1" outlineLevel="1" x14ac:dyDescent="0.3">
      <c r="A97" s="91" t="s">
        <v>136</v>
      </c>
      <c r="B97" s="92" t="s">
        <v>225</v>
      </c>
      <c r="C97" s="90"/>
      <c r="D97" s="90"/>
      <c r="E97" s="93"/>
      <c r="F97" s="93"/>
      <c r="G97" s="93"/>
      <c r="H97" s="93"/>
      <c r="I97" s="94"/>
      <c r="J97" s="94">
        <f>SUM(J98:J100)</f>
        <v>799.76</v>
      </c>
      <c r="K97" s="95"/>
      <c r="L97" s="95"/>
      <c r="M97" s="13"/>
    </row>
    <row r="98" spans="1:13" hidden="1" outlineLevel="2" x14ac:dyDescent="0.3">
      <c r="A98" s="62" t="s">
        <v>214</v>
      </c>
      <c r="B98" s="63" t="s">
        <v>274</v>
      </c>
      <c r="C98" s="64" t="s">
        <v>10</v>
      </c>
      <c r="D98" s="64">
        <f>1*2</f>
        <v>2</v>
      </c>
      <c r="E98" s="85"/>
      <c r="F98" s="85"/>
      <c r="G98" s="85">
        <v>99.97</v>
      </c>
      <c r="H98" s="85"/>
      <c r="I98" s="86"/>
      <c r="J98" s="86">
        <f>G98*D98</f>
        <v>199.94</v>
      </c>
      <c r="K98" s="67" t="s">
        <v>325</v>
      </c>
      <c r="L98" s="67" t="s">
        <v>338</v>
      </c>
      <c r="M98" s="3"/>
    </row>
    <row r="99" spans="1:13" hidden="1" outlineLevel="2" x14ac:dyDescent="0.3">
      <c r="A99" s="62" t="s">
        <v>215</v>
      </c>
      <c r="B99" s="63" t="s">
        <v>249</v>
      </c>
      <c r="C99" s="64" t="s">
        <v>10</v>
      </c>
      <c r="D99" s="64">
        <f>3*0.8</f>
        <v>2.4000000000000004</v>
      </c>
      <c r="E99" s="85"/>
      <c r="F99" s="85"/>
      <c r="G99" s="85">
        <v>99.97</v>
      </c>
      <c r="H99" s="85"/>
      <c r="I99" s="86"/>
      <c r="J99" s="86">
        <f t="shared" ref="J99:J100" si="8">G99*D99</f>
        <v>239.92800000000003</v>
      </c>
      <c r="K99" s="67" t="s">
        <v>325</v>
      </c>
      <c r="L99" s="67" t="s">
        <v>338</v>
      </c>
      <c r="M99" s="3"/>
    </row>
    <row r="100" spans="1:13" hidden="1" outlineLevel="2" x14ac:dyDescent="0.3">
      <c r="A100" s="62" t="s">
        <v>216</v>
      </c>
      <c r="B100" s="63" t="s">
        <v>250</v>
      </c>
      <c r="C100" s="64" t="s">
        <v>10</v>
      </c>
      <c r="D100" s="64">
        <f>6*0.6</f>
        <v>3.5999999999999996</v>
      </c>
      <c r="E100" s="85"/>
      <c r="F100" s="85"/>
      <c r="G100" s="85">
        <v>99.97</v>
      </c>
      <c r="H100" s="85"/>
      <c r="I100" s="86"/>
      <c r="J100" s="86">
        <f t="shared" si="8"/>
        <v>359.89199999999994</v>
      </c>
      <c r="K100" s="67" t="s">
        <v>325</v>
      </c>
      <c r="L100" s="67" t="s">
        <v>338</v>
      </c>
      <c r="M100" s="3"/>
    </row>
    <row r="101" spans="1:13" s="10" customFormat="1" hidden="1" outlineLevel="1" x14ac:dyDescent="0.3">
      <c r="A101" s="91" t="s">
        <v>137</v>
      </c>
      <c r="B101" s="92" t="s">
        <v>226</v>
      </c>
      <c r="C101" s="90"/>
      <c r="D101" s="90"/>
      <c r="E101" s="93"/>
      <c r="F101" s="93"/>
      <c r="G101" s="93"/>
      <c r="H101" s="93"/>
      <c r="I101" s="94"/>
      <c r="J101" s="94">
        <f>SUM(J102:J104)</f>
        <v>9833.2759999999998</v>
      </c>
      <c r="K101" s="95"/>
      <c r="L101" s="95"/>
      <c r="M101" s="13"/>
    </row>
    <row r="102" spans="1:13" s="10" customFormat="1" hidden="1" outlineLevel="2" x14ac:dyDescent="0.3">
      <c r="A102" s="62" t="s">
        <v>217</v>
      </c>
      <c r="B102" s="63" t="s">
        <v>275</v>
      </c>
      <c r="C102" s="64" t="s">
        <v>10</v>
      </c>
      <c r="D102" s="96">
        <f>4.1+2.9+4.4+4.3</f>
        <v>15.7</v>
      </c>
      <c r="E102" s="97"/>
      <c r="F102" s="85"/>
      <c r="G102" s="85">
        <v>141.08000000000001</v>
      </c>
      <c r="H102" s="85"/>
      <c r="I102" s="86"/>
      <c r="J102" s="86">
        <f>G102*D102</f>
        <v>2214.9560000000001</v>
      </c>
      <c r="K102" s="67" t="s">
        <v>326</v>
      </c>
      <c r="L102" s="67" t="s">
        <v>338</v>
      </c>
      <c r="M102" s="3"/>
    </row>
    <row r="103" spans="1:13" s="10" customFormat="1" hidden="1" outlineLevel="2" x14ac:dyDescent="0.3">
      <c r="A103" s="62" t="s">
        <v>218</v>
      </c>
      <c r="B103" s="63" t="s">
        <v>276</v>
      </c>
      <c r="C103" s="64" t="s">
        <v>10</v>
      </c>
      <c r="D103" s="96">
        <f>4.3+2.05+2.05+4.4+2.05+2.05+4+3.1+1.4+1.4+2</f>
        <v>28.799999999999997</v>
      </c>
      <c r="E103" s="97"/>
      <c r="F103" s="85"/>
      <c r="G103" s="85">
        <v>141.08000000000001</v>
      </c>
      <c r="H103" s="85"/>
      <c r="I103" s="86"/>
      <c r="J103" s="86">
        <f t="shared" ref="J103:J104" si="9">G103*D103</f>
        <v>4063.1039999999998</v>
      </c>
      <c r="K103" s="67" t="s">
        <v>326</v>
      </c>
      <c r="L103" s="67" t="s">
        <v>338</v>
      </c>
      <c r="M103" s="13"/>
    </row>
    <row r="104" spans="1:13" s="10" customFormat="1" hidden="1" outlineLevel="2" x14ac:dyDescent="0.3">
      <c r="A104" s="62" t="s">
        <v>251</v>
      </c>
      <c r="B104" s="63" t="s">
        <v>277</v>
      </c>
      <c r="C104" s="64" t="s">
        <v>10</v>
      </c>
      <c r="D104" s="96">
        <f>4.3+2.05+2.05+4.4+2.05+2.05+4.3+1.4+2.6</f>
        <v>25.2</v>
      </c>
      <c r="E104" s="97"/>
      <c r="F104" s="85"/>
      <c r="G104" s="85">
        <v>141.08000000000001</v>
      </c>
      <c r="H104" s="85"/>
      <c r="I104" s="86"/>
      <c r="J104" s="86">
        <f t="shared" si="9"/>
        <v>3555.2160000000003</v>
      </c>
      <c r="K104" s="67" t="s">
        <v>326</v>
      </c>
      <c r="L104" s="67" t="s">
        <v>338</v>
      </c>
      <c r="M104" s="13"/>
    </row>
    <row r="105" spans="1:13" s="7" customFormat="1" collapsed="1" x14ac:dyDescent="0.3">
      <c r="A105" s="71">
        <v>11</v>
      </c>
      <c r="B105" s="72" t="s">
        <v>26</v>
      </c>
      <c r="C105" s="88"/>
      <c r="D105" s="71"/>
      <c r="E105" s="74"/>
      <c r="F105" s="74"/>
      <c r="G105" s="74"/>
      <c r="H105" s="74"/>
      <c r="I105" s="74"/>
      <c r="J105" s="74">
        <f>J106+J117+J123+J135</f>
        <v>22499.61</v>
      </c>
      <c r="K105" s="34"/>
      <c r="L105" s="34"/>
      <c r="M105" s="58"/>
    </row>
    <row r="106" spans="1:13" hidden="1" outlineLevel="1" collapsed="1" x14ac:dyDescent="0.3">
      <c r="A106" s="91" t="s">
        <v>465</v>
      </c>
      <c r="B106" s="92" t="s">
        <v>182</v>
      </c>
      <c r="C106" s="90"/>
      <c r="D106" s="120"/>
      <c r="E106" s="93"/>
      <c r="F106" s="93"/>
      <c r="G106" s="93"/>
      <c r="H106" s="93"/>
      <c r="I106" s="94"/>
      <c r="J106" s="94">
        <f>SUM(J107:J116)</f>
        <v>17163.98</v>
      </c>
      <c r="K106" s="95"/>
      <c r="L106" s="95"/>
      <c r="M106" s="3"/>
    </row>
    <row r="107" spans="1:13" s="7" customFormat="1" hidden="1" outlineLevel="2" x14ac:dyDescent="0.3">
      <c r="A107" s="153" t="s">
        <v>511</v>
      </c>
      <c r="B107" s="152" t="s">
        <v>378</v>
      </c>
      <c r="C107" s="128" t="s">
        <v>75</v>
      </c>
      <c r="D107" s="128"/>
      <c r="E107" s="163"/>
      <c r="F107" s="164"/>
      <c r="G107" s="164"/>
      <c r="H107" s="164"/>
      <c r="I107" s="164"/>
      <c r="J107" s="164"/>
      <c r="K107" s="164"/>
      <c r="L107" s="165"/>
      <c r="M107" s="3"/>
    </row>
    <row r="108" spans="1:13" s="7" customFormat="1" ht="28.8" hidden="1" outlineLevel="2" x14ac:dyDescent="0.3">
      <c r="A108" s="153" t="s">
        <v>377</v>
      </c>
      <c r="B108" s="63" t="s">
        <v>379</v>
      </c>
      <c r="C108" s="64" t="s">
        <v>75</v>
      </c>
      <c r="D108" s="64">
        <v>3</v>
      </c>
      <c r="E108" s="89"/>
      <c r="F108" s="89"/>
      <c r="G108" s="65">
        <v>653.64</v>
      </c>
      <c r="H108" s="65"/>
      <c r="I108" s="66"/>
      <c r="J108" s="86">
        <f t="shared" ref="J108" si="10">G108*D108</f>
        <v>1960.92</v>
      </c>
      <c r="K108" s="67" t="s">
        <v>380</v>
      </c>
      <c r="L108" s="67" t="s">
        <v>340</v>
      </c>
      <c r="M108" s="3"/>
    </row>
    <row r="109" spans="1:13" s="7" customFormat="1" hidden="1" outlineLevel="2" x14ac:dyDescent="0.3">
      <c r="A109" s="153" t="s">
        <v>512</v>
      </c>
      <c r="B109" s="63" t="s">
        <v>381</v>
      </c>
      <c r="C109" s="64" t="s">
        <v>75</v>
      </c>
      <c r="D109" s="64">
        <v>1</v>
      </c>
      <c r="E109" s="89">
        <v>211.53</v>
      </c>
      <c r="F109" s="89">
        <v>12.51</v>
      </c>
      <c r="G109" s="65">
        <v>224.04</v>
      </c>
      <c r="H109" s="65"/>
      <c r="I109" s="66"/>
      <c r="J109" s="86">
        <f t="shared" ref="J109:J112" si="11">G109*D109</f>
        <v>224.04</v>
      </c>
      <c r="K109" s="67" t="s">
        <v>435</v>
      </c>
      <c r="L109" s="67" t="s">
        <v>340</v>
      </c>
      <c r="M109" s="3"/>
    </row>
    <row r="110" spans="1:13" s="7" customFormat="1" hidden="1" outlineLevel="2" x14ac:dyDescent="0.3">
      <c r="A110" s="153" t="s">
        <v>513</v>
      </c>
      <c r="B110" s="63" t="s">
        <v>184</v>
      </c>
      <c r="C110" s="64" t="s">
        <v>75</v>
      </c>
      <c r="D110" s="64">
        <v>4</v>
      </c>
      <c r="E110" s="89">
        <v>2939.35</v>
      </c>
      <c r="F110" s="89">
        <v>31.64</v>
      </c>
      <c r="G110" s="65">
        <v>2970.99</v>
      </c>
      <c r="H110" s="65"/>
      <c r="I110" s="66"/>
      <c r="J110" s="86">
        <f t="shared" si="11"/>
        <v>11883.96</v>
      </c>
      <c r="K110" s="67" t="s">
        <v>434</v>
      </c>
      <c r="L110" s="67" t="s">
        <v>340</v>
      </c>
      <c r="M110" s="3"/>
    </row>
    <row r="111" spans="1:13" hidden="1" outlineLevel="2" x14ac:dyDescent="0.3">
      <c r="A111" s="153" t="s">
        <v>539</v>
      </c>
      <c r="B111" s="63" t="s">
        <v>130</v>
      </c>
      <c r="C111" s="64" t="s">
        <v>75</v>
      </c>
      <c r="D111" s="64">
        <v>2</v>
      </c>
      <c r="E111" s="89">
        <v>9.41</v>
      </c>
      <c r="F111" s="89">
        <v>15.02</v>
      </c>
      <c r="G111" s="65">
        <v>24.43</v>
      </c>
      <c r="H111" s="65"/>
      <c r="I111" s="66"/>
      <c r="J111" s="86">
        <f t="shared" si="11"/>
        <v>48.86</v>
      </c>
      <c r="K111" s="67" t="s">
        <v>433</v>
      </c>
      <c r="L111" s="67" t="s">
        <v>340</v>
      </c>
      <c r="M111" s="3"/>
    </row>
    <row r="112" spans="1:13" hidden="1" outlineLevel="2" x14ac:dyDescent="0.3">
      <c r="A112" s="153" t="s">
        <v>540</v>
      </c>
      <c r="B112" s="63" t="s">
        <v>382</v>
      </c>
      <c r="C112" s="64" t="s">
        <v>75</v>
      </c>
      <c r="D112" s="64">
        <v>4</v>
      </c>
      <c r="E112" s="89"/>
      <c r="F112" s="89"/>
      <c r="G112" s="65">
        <v>761.55</v>
      </c>
      <c r="H112" s="65"/>
      <c r="I112" s="66"/>
      <c r="J112" s="86">
        <f t="shared" si="11"/>
        <v>3046.2</v>
      </c>
      <c r="K112" s="67" t="s">
        <v>432</v>
      </c>
      <c r="L112" s="67" t="s">
        <v>338</v>
      </c>
      <c r="M112" s="3"/>
    </row>
    <row r="113" spans="1:13" hidden="1" outlineLevel="2" x14ac:dyDescent="0.3">
      <c r="A113" s="153" t="s">
        <v>541</v>
      </c>
      <c r="B113" s="63" t="s">
        <v>183</v>
      </c>
      <c r="C113" s="64" t="s">
        <v>75</v>
      </c>
      <c r="D113" s="128" t="s">
        <v>383</v>
      </c>
      <c r="E113" s="89"/>
      <c r="F113" s="89"/>
      <c r="G113" s="65"/>
      <c r="H113" s="65"/>
      <c r="I113" s="66"/>
      <c r="J113" s="86"/>
      <c r="K113" s="67"/>
      <c r="L113" s="67"/>
      <c r="M113" s="3"/>
    </row>
    <row r="114" spans="1:13" hidden="1" outlineLevel="2" x14ac:dyDescent="0.3">
      <c r="A114" s="153" t="s">
        <v>542</v>
      </c>
      <c r="B114" s="63" t="s">
        <v>384</v>
      </c>
      <c r="C114" s="64" t="s">
        <v>75</v>
      </c>
      <c r="D114" s="128" t="s">
        <v>383</v>
      </c>
      <c r="E114" s="89"/>
      <c r="F114" s="89"/>
      <c r="G114" s="65"/>
      <c r="H114" s="65"/>
      <c r="I114" s="66"/>
      <c r="J114" s="86"/>
      <c r="K114" s="67"/>
      <c r="L114" s="67"/>
      <c r="M114" s="3"/>
    </row>
    <row r="115" spans="1:13" hidden="1" outlineLevel="2" x14ac:dyDescent="0.3">
      <c r="A115" s="153" t="s">
        <v>543</v>
      </c>
      <c r="B115" s="63" t="s">
        <v>385</v>
      </c>
      <c r="C115" s="64" t="s">
        <v>75</v>
      </c>
      <c r="D115" s="128" t="s">
        <v>383</v>
      </c>
      <c r="E115" s="89"/>
      <c r="F115" s="89"/>
      <c r="G115" s="65"/>
      <c r="H115" s="65"/>
      <c r="I115" s="66"/>
      <c r="J115" s="86"/>
      <c r="K115" s="67"/>
      <c r="L115" s="67"/>
      <c r="M115" s="3"/>
    </row>
    <row r="116" spans="1:13" hidden="1" outlineLevel="2" x14ac:dyDescent="0.3">
      <c r="A116" s="153" t="s">
        <v>544</v>
      </c>
      <c r="B116" s="63" t="s">
        <v>386</v>
      </c>
      <c r="C116" s="64" t="s">
        <v>75</v>
      </c>
      <c r="D116" s="128" t="s">
        <v>383</v>
      </c>
      <c r="E116" s="89"/>
      <c r="F116" s="89"/>
      <c r="G116" s="65"/>
      <c r="H116" s="65"/>
      <c r="I116" s="66"/>
      <c r="J116" s="86"/>
      <c r="K116" s="67"/>
      <c r="L116" s="67"/>
      <c r="M116" s="3"/>
    </row>
    <row r="117" spans="1:13" s="10" customFormat="1" hidden="1" outlineLevel="1" x14ac:dyDescent="0.3">
      <c r="A117" s="91" t="s">
        <v>466</v>
      </c>
      <c r="B117" s="92" t="s">
        <v>388</v>
      </c>
      <c r="C117" s="90"/>
      <c r="D117" s="120"/>
      <c r="E117" s="93"/>
      <c r="F117" s="92"/>
      <c r="G117" s="121"/>
      <c r="H117" s="93"/>
      <c r="I117" s="94"/>
      <c r="J117" s="94">
        <f>SUM(J118:J122)</f>
        <v>5335.63</v>
      </c>
      <c r="K117" s="95"/>
      <c r="L117" s="95"/>
      <c r="M117" s="13"/>
    </row>
    <row r="118" spans="1:13" s="10" customFormat="1" hidden="1" outlineLevel="2" x14ac:dyDescent="0.3">
      <c r="A118" s="62" t="s">
        <v>470</v>
      </c>
      <c r="B118" s="63" t="s">
        <v>109</v>
      </c>
      <c r="C118" s="64" t="s">
        <v>10</v>
      </c>
      <c r="D118" s="64">
        <f>100</f>
        <v>100</v>
      </c>
      <c r="E118" s="122"/>
      <c r="F118" s="122"/>
      <c r="G118" s="122">
        <v>39.39</v>
      </c>
      <c r="H118" s="122"/>
      <c r="I118" s="123"/>
      <c r="J118" s="86">
        <f t="shared" ref="J118:J122" si="12">G118*D118</f>
        <v>3939</v>
      </c>
      <c r="K118" s="67" t="s">
        <v>414</v>
      </c>
      <c r="L118" s="67" t="s">
        <v>338</v>
      </c>
      <c r="M118" s="3"/>
    </row>
    <row r="119" spans="1:13" s="10" customFormat="1" hidden="1" outlineLevel="2" x14ac:dyDescent="0.3">
      <c r="A119" s="62" t="s">
        <v>471</v>
      </c>
      <c r="B119" s="63" t="s">
        <v>110</v>
      </c>
      <c r="C119" s="64" t="s">
        <v>10</v>
      </c>
      <c r="D119" s="64">
        <v>10</v>
      </c>
      <c r="E119" s="122"/>
      <c r="F119" s="122"/>
      <c r="G119" s="122">
        <v>60.99</v>
      </c>
      <c r="H119" s="122"/>
      <c r="I119" s="123"/>
      <c r="J119" s="86">
        <f t="shared" si="12"/>
        <v>609.9</v>
      </c>
      <c r="K119" s="67" t="s">
        <v>436</v>
      </c>
      <c r="L119" s="67" t="s">
        <v>338</v>
      </c>
      <c r="M119" s="3"/>
    </row>
    <row r="120" spans="1:13" s="10" customFormat="1" hidden="1" outlineLevel="2" x14ac:dyDescent="0.3">
      <c r="A120" s="62" t="s">
        <v>472</v>
      </c>
      <c r="B120" s="63" t="s">
        <v>111</v>
      </c>
      <c r="C120" s="64" t="s">
        <v>75</v>
      </c>
      <c r="D120" s="64">
        <v>4</v>
      </c>
      <c r="E120" s="122"/>
      <c r="F120" s="122"/>
      <c r="G120" s="122">
        <v>17.63</v>
      </c>
      <c r="H120" s="122"/>
      <c r="I120" s="123"/>
      <c r="J120" s="86">
        <f t="shared" si="12"/>
        <v>70.52</v>
      </c>
      <c r="K120" s="67" t="s">
        <v>413</v>
      </c>
      <c r="L120" s="67" t="s">
        <v>338</v>
      </c>
      <c r="M120" s="3"/>
    </row>
    <row r="121" spans="1:13" s="10" customFormat="1" hidden="1" outlineLevel="2" x14ac:dyDescent="0.3">
      <c r="A121" s="62" t="s">
        <v>473</v>
      </c>
      <c r="B121" s="63" t="s">
        <v>112</v>
      </c>
      <c r="C121" s="64" t="s">
        <v>75</v>
      </c>
      <c r="D121" s="64">
        <v>2</v>
      </c>
      <c r="E121" s="122"/>
      <c r="F121" s="122"/>
      <c r="G121" s="122">
        <v>110.53</v>
      </c>
      <c r="H121" s="122"/>
      <c r="I121" s="123"/>
      <c r="J121" s="86">
        <f t="shared" si="12"/>
        <v>221.06</v>
      </c>
      <c r="K121" s="67" t="s">
        <v>437</v>
      </c>
      <c r="L121" s="67" t="s">
        <v>338</v>
      </c>
      <c r="M121" s="3"/>
    </row>
    <row r="122" spans="1:13" s="10" customFormat="1" hidden="1" outlineLevel="2" x14ac:dyDescent="0.3">
      <c r="A122" s="62" t="s">
        <v>474</v>
      </c>
      <c r="B122" s="63" t="s">
        <v>185</v>
      </c>
      <c r="C122" s="64" t="s">
        <v>75</v>
      </c>
      <c r="D122" s="64">
        <v>1</v>
      </c>
      <c r="E122" s="122"/>
      <c r="F122" s="122"/>
      <c r="G122" s="122">
        <v>495.15</v>
      </c>
      <c r="H122" s="122"/>
      <c r="I122" s="123"/>
      <c r="J122" s="86">
        <f t="shared" si="12"/>
        <v>495.15</v>
      </c>
      <c r="K122" s="67" t="s">
        <v>438</v>
      </c>
      <c r="L122" s="67" t="s">
        <v>338</v>
      </c>
      <c r="M122" s="3"/>
    </row>
    <row r="123" spans="1:13" s="10" customFormat="1" hidden="1" outlineLevel="1" x14ac:dyDescent="0.3">
      <c r="A123" s="91" t="s">
        <v>467</v>
      </c>
      <c r="B123" s="92" t="s">
        <v>486</v>
      </c>
      <c r="C123" s="90"/>
      <c r="D123" s="120" t="s">
        <v>131</v>
      </c>
      <c r="E123" s="93"/>
      <c r="F123" s="92"/>
      <c r="G123" s="121"/>
      <c r="H123" s="93"/>
      <c r="I123" s="94"/>
      <c r="J123" s="94">
        <f>SUM(J124:J134)</f>
        <v>0</v>
      </c>
      <c r="K123" s="95"/>
      <c r="L123" s="95"/>
      <c r="M123" s="13"/>
    </row>
    <row r="124" spans="1:13" s="10" customFormat="1" hidden="1" outlineLevel="2" x14ac:dyDescent="0.3">
      <c r="A124" s="62" t="s">
        <v>475</v>
      </c>
      <c r="B124" s="63" t="s">
        <v>113</v>
      </c>
      <c r="C124" s="64" t="s">
        <v>75</v>
      </c>
      <c r="D124" s="128" t="s">
        <v>383</v>
      </c>
      <c r="E124" s="129"/>
      <c r="F124" s="129"/>
      <c r="G124" s="129"/>
      <c r="H124" s="129"/>
      <c r="I124" s="130"/>
      <c r="J124" s="86"/>
      <c r="K124" s="67"/>
      <c r="L124" s="67"/>
      <c r="M124" s="13"/>
    </row>
    <row r="125" spans="1:13" s="10" customFormat="1" hidden="1" outlineLevel="2" x14ac:dyDescent="0.3">
      <c r="A125" s="62" t="s">
        <v>476</v>
      </c>
      <c r="B125" s="63" t="s">
        <v>187</v>
      </c>
      <c r="C125" s="64" t="s">
        <v>75</v>
      </c>
      <c r="D125" s="128" t="s">
        <v>383</v>
      </c>
      <c r="E125" s="129"/>
      <c r="F125" s="129"/>
      <c r="G125" s="129"/>
      <c r="H125" s="129"/>
      <c r="I125" s="130"/>
      <c r="J125" s="86"/>
      <c r="K125" s="67"/>
      <c r="L125" s="67"/>
      <c r="M125" s="13"/>
    </row>
    <row r="126" spans="1:13" s="10" customFormat="1" hidden="1" outlineLevel="2" x14ac:dyDescent="0.3">
      <c r="A126" s="62" t="s">
        <v>477</v>
      </c>
      <c r="B126" s="63" t="s">
        <v>188</v>
      </c>
      <c r="C126" s="64" t="s">
        <v>75</v>
      </c>
      <c r="D126" s="128" t="s">
        <v>383</v>
      </c>
      <c r="E126" s="129"/>
      <c r="F126" s="129"/>
      <c r="G126" s="129"/>
      <c r="H126" s="129"/>
      <c r="I126" s="130"/>
      <c r="J126" s="86"/>
      <c r="K126" s="67"/>
      <c r="L126" s="67"/>
      <c r="M126" s="13"/>
    </row>
    <row r="127" spans="1:13" s="10" customFormat="1" hidden="1" outlineLevel="2" x14ac:dyDescent="0.3">
      <c r="A127" s="62" t="s">
        <v>478</v>
      </c>
      <c r="B127" s="63" t="s">
        <v>189</v>
      </c>
      <c r="C127" s="64" t="s">
        <v>75</v>
      </c>
      <c r="D127" s="128" t="s">
        <v>383</v>
      </c>
      <c r="E127" s="129"/>
      <c r="F127" s="129"/>
      <c r="G127" s="129"/>
      <c r="H127" s="129"/>
      <c r="I127" s="130"/>
      <c r="J127" s="86"/>
      <c r="K127" s="67"/>
      <c r="L127" s="67"/>
      <c r="M127" s="13"/>
    </row>
    <row r="128" spans="1:13" s="10" customFormat="1" hidden="1" outlineLevel="2" x14ac:dyDescent="0.3">
      <c r="A128" s="62" t="s">
        <v>479</v>
      </c>
      <c r="B128" s="63" t="s">
        <v>114</v>
      </c>
      <c r="C128" s="64" t="s">
        <v>75</v>
      </c>
      <c r="D128" s="128" t="s">
        <v>383</v>
      </c>
      <c r="E128" s="129"/>
      <c r="F128" s="129"/>
      <c r="G128" s="129"/>
      <c r="H128" s="129"/>
      <c r="I128" s="130"/>
      <c r="J128" s="86"/>
      <c r="K128" s="67"/>
      <c r="L128" s="67"/>
      <c r="M128" s="13"/>
    </row>
    <row r="129" spans="1:13" s="10" customFormat="1" hidden="1" outlineLevel="2" x14ac:dyDescent="0.3">
      <c r="A129" s="62" t="s">
        <v>480</v>
      </c>
      <c r="B129" s="63" t="s">
        <v>115</v>
      </c>
      <c r="C129" s="64" t="s">
        <v>75</v>
      </c>
      <c r="D129" s="128" t="s">
        <v>383</v>
      </c>
      <c r="E129" s="129"/>
      <c r="F129" s="129"/>
      <c r="G129" s="129"/>
      <c r="H129" s="129"/>
      <c r="I129" s="130"/>
      <c r="J129" s="86"/>
      <c r="K129" s="67"/>
      <c r="L129" s="67"/>
      <c r="M129" s="13"/>
    </row>
    <row r="130" spans="1:13" s="10" customFormat="1" hidden="1" outlineLevel="2" x14ac:dyDescent="0.3">
      <c r="A130" s="62" t="s">
        <v>481</v>
      </c>
      <c r="B130" s="63" t="s">
        <v>190</v>
      </c>
      <c r="C130" s="64" t="s">
        <v>75</v>
      </c>
      <c r="D130" s="128" t="s">
        <v>383</v>
      </c>
      <c r="E130" s="129"/>
      <c r="F130" s="129"/>
      <c r="G130" s="129"/>
      <c r="H130" s="129"/>
      <c r="I130" s="130"/>
      <c r="J130" s="86"/>
      <c r="K130" s="67"/>
      <c r="L130" s="67"/>
      <c r="M130" s="13"/>
    </row>
    <row r="131" spans="1:13" s="10" customFormat="1" hidden="1" outlineLevel="2" x14ac:dyDescent="0.3">
      <c r="A131" s="62" t="s">
        <v>482</v>
      </c>
      <c r="B131" s="63" t="s">
        <v>191</v>
      </c>
      <c r="C131" s="64" t="s">
        <v>75</v>
      </c>
      <c r="D131" s="128" t="s">
        <v>383</v>
      </c>
      <c r="E131" s="129"/>
      <c r="F131" s="129"/>
      <c r="G131" s="129"/>
      <c r="H131" s="129"/>
      <c r="I131" s="130"/>
      <c r="J131" s="86"/>
      <c r="K131" s="67"/>
      <c r="L131" s="67"/>
      <c r="M131" s="13"/>
    </row>
    <row r="132" spans="1:13" s="10" customFormat="1" hidden="1" outlineLevel="2" x14ac:dyDescent="0.3">
      <c r="A132" s="62" t="s">
        <v>483</v>
      </c>
      <c r="B132" s="63" t="s">
        <v>192</v>
      </c>
      <c r="C132" s="64" t="s">
        <v>10</v>
      </c>
      <c r="D132" s="128" t="s">
        <v>383</v>
      </c>
      <c r="E132" s="129"/>
      <c r="F132" s="129"/>
      <c r="G132" s="129"/>
      <c r="H132" s="129"/>
      <c r="I132" s="130"/>
      <c r="J132" s="86"/>
      <c r="K132" s="67"/>
      <c r="L132" s="67"/>
      <c r="M132" s="13"/>
    </row>
    <row r="133" spans="1:13" s="10" customFormat="1" hidden="1" outlineLevel="2" x14ac:dyDescent="0.3">
      <c r="A133" s="62" t="s">
        <v>484</v>
      </c>
      <c r="B133" s="63" t="s">
        <v>193</v>
      </c>
      <c r="C133" s="64" t="s">
        <v>10</v>
      </c>
      <c r="D133" s="128" t="s">
        <v>383</v>
      </c>
      <c r="E133" s="129"/>
      <c r="F133" s="129"/>
      <c r="G133" s="129"/>
      <c r="H133" s="129"/>
      <c r="I133" s="130"/>
      <c r="J133" s="86"/>
      <c r="K133" s="67"/>
      <c r="L133" s="67"/>
      <c r="M133" s="13"/>
    </row>
    <row r="134" spans="1:13" s="10" customFormat="1" hidden="1" outlineLevel="2" x14ac:dyDescent="0.3">
      <c r="A134" s="62" t="s">
        <v>485</v>
      </c>
      <c r="B134" s="63" t="s">
        <v>116</v>
      </c>
      <c r="C134" s="64" t="s">
        <v>75</v>
      </c>
      <c r="D134" s="128" t="s">
        <v>383</v>
      </c>
      <c r="E134" s="129"/>
      <c r="F134" s="129"/>
      <c r="G134" s="129"/>
      <c r="H134" s="129"/>
      <c r="I134" s="130"/>
      <c r="J134" s="86"/>
      <c r="K134" s="67"/>
      <c r="L134" s="67"/>
      <c r="M134" s="13"/>
    </row>
    <row r="135" spans="1:13" s="15" customFormat="1" hidden="1" outlineLevel="1" x14ac:dyDescent="0.3">
      <c r="A135" s="91" t="s">
        <v>387</v>
      </c>
      <c r="B135" s="92" t="s">
        <v>469</v>
      </c>
      <c r="C135" s="102"/>
      <c r="D135" s="94"/>
      <c r="E135" s="93"/>
      <c r="F135" s="93"/>
      <c r="G135" s="93"/>
      <c r="H135" s="93"/>
      <c r="I135" s="94"/>
      <c r="J135" s="94"/>
      <c r="K135" s="95"/>
      <c r="L135" s="95"/>
      <c r="M135" s="57"/>
    </row>
    <row r="136" spans="1:13" s="12" customFormat="1" hidden="1" outlineLevel="2" x14ac:dyDescent="0.3">
      <c r="A136" s="62" t="s">
        <v>514</v>
      </c>
      <c r="B136" s="63" t="s">
        <v>468</v>
      </c>
      <c r="C136" s="124"/>
      <c r="D136" s="124"/>
      <c r="E136" s="125"/>
      <c r="F136" s="125"/>
      <c r="G136" s="126"/>
      <c r="H136" s="126"/>
      <c r="I136" s="127"/>
      <c r="J136" s="127"/>
      <c r="K136" s="67"/>
      <c r="L136" s="67"/>
      <c r="M136" s="57"/>
    </row>
    <row r="137" spans="1:13" s="12" customFormat="1" collapsed="1" x14ac:dyDescent="0.3">
      <c r="A137" s="71">
        <v>12</v>
      </c>
      <c r="B137" s="72" t="s">
        <v>27</v>
      </c>
      <c r="C137" s="73"/>
      <c r="D137" s="71"/>
      <c r="E137" s="74"/>
      <c r="F137" s="74"/>
      <c r="G137" s="74"/>
      <c r="H137" s="74"/>
      <c r="I137" s="74"/>
      <c r="J137" s="74">
        <f>SUM(J138:J151)</f>
        <v>8376.82</v>
      </c>
      <c r="K137" s="34"/>
      <c r="L137" s="34"/>
      <c r="M137" s="57"/>
    </row>
    <row r="138" spans="1:13" hidden="1" outlineLevel="2" x14ac:dyDescent="0.3">
      <c r="A138" s="62" t="s">
        <v>367</v>
      </c>
      <c r="B138" s="63" t="s">
        <v>94</v>
      </c>
      <c r="C138" s="64" t="s">
        <v>75</v>
      </c>
      <c r="D138" s="64">
        <v>1</v>
      </c>
      <c r="E138" s="65"/>
      <c r="F138" s="65"/>
      <c r="G138" s="65">
        <v>285.82</v>
      </c>
      <c r="H138" s="65"/>
      <c r="I138" s="66"/>
      <c r="J138" s="66">
        <f t="shared" ref="J138:J144" si="13">G138*D138</f>
        <v>285.82</v>
      </c>
      <c r="K138" s="67" t="s">
        <v>394</v>
      </c>
      <c r="L138" s="67" t="s">
        <v>338</v>
      </c>
      <c r="M138" s="3"/>
    </row>
    <row r="139" spans="1:13" hidden="1" outlineLevel="2" x14ac:dyDescent="0.3">
      <c r="A139" s="62" t="s">
        <v>148</v>
      </c>
      <c r="B139" s="63" t="s">
        <v>95</v>
      </c>
      <c r="C139" s="64" t="s">
        <v>75</v>
      </c>
      <c r="D139" s="64">
        <v>8</v>
      </c>
      <c r="E139" s="65"/>
      <c r="F139" s="65"/>
      <c r="G139" s="65">
        <v>163.38</v>
      </c>
      <c r="H139" s="65"/>
      <c r="I139" s="66"/>
      <c r="J139" s="66">
        <f t="shared" si="13"/>
        <v>1307.04</v>
      </c>
      <c r="K139" s="67" t="s">
        <v>395</v>
      </c>
      <c r="L139" s="67" t="s">
        <v>338</v>
      </c>
      <c r="M139" s="3"/>
    </row>
    <row r="140" spans="1:13" hidden="1" outlineLevel="2" x14ac:dyDescent="0.3">
      <c r="A140" s="62" t="s">
        <v>449</v>
      </c>
      <c r="B140" s="63" t="s">
        <v>96</v>
      </c>
      <c r="C140" s="64" t="s">
        <v>10</v>
      </c>
      <c r="D140" s="64">
        <v>15</v>
      </c>
      <c r="E140" s="65"/>
      <c r="F140" s="65"/>
      <c r="G140" s="65">
        <v>41.23</v>
      </c>
      <c r="H140" s="65"/>
      <c r="I140" s="66"/>
      <c r="J140" s="66">
        <f t="shared" si="13"/>
        <v>618.44999999999993</v>
      </c>
      <c r="K140" s="67" t="s">
        <v>396</v>
      </c>
      <c r="L140" s="67" t="s">
        <v>338</v>
      </c>
      <c r="M140" s="3"/>
    </row>
    <row r="141" spans="1:13" hidden="1" outlineLevel="2" x14ac:dyDescent="0.3">
      <c r="A141" s="62" t="s">
        <v>117</v>
      </c>
      <c r="B141" s="63" t="s">
        <v>166</v>
      </c>
      <c r="C141" s="64" t="s">
        <v>10</v>
      </c>
      <c r="D141" s="64">
        <v>58</v>
      </c>
      <c r="E141" s="65"/>
      <c r="F141" s="65"/>
      <c r="G141" s="65">
        <v>34.049999999999997</v>
      </c>
      <c r="H141" s="65"/>
      <c r="I141" s="66"/>
      <c r="J141" s="66">
        <f t="shared" si="13"/>
        <v>1974.8999999999999</v>
      </c>
      <c r="K141" s="67" t="s">
        <v>397</v>
      </c>
      <c r="L141" s="67" t="s">
        <v>338</v>
      </c>
      <c r="M141" s="3"/>
    </row>
    <row r="142" spans="1:13" ht="30" hidden="1" customHeight="1" outlineLevel="2" x14ac:dyDescent="0.3">
      <c r="A142" s="62" t="s">
        <v>186</v>
      </c>
      <c r="B142" s="63" t="s">
        <v>194</v>
      </c>
      <c r="C142" s="64" t="s">
        <v>75</v>
      </c>
      <c r="D142" s="68">
        <v>1</v>
      </c>
      <c r="E142" s="65"/>
      <c r="F142" s="65"/>
      <c r="G142" s="65">
        <v>538.04</v>
      </c>
      <c r="H142" s="65"/>
      <c r="I142" s="66"/>
      <c r="J142" s="66">
        <f t="shared" si="13"/>
        <v>538.04</v>
      </c>
      <c r="K142" s="67" t="s">
        <v>398</v>
      </c>
      <c r="L142" s="67" t="s">
        <v>340</v>
      </c>
      <c r="M142" s="3"/>
    </row>
    <row r="143" spans="1:13" hidden="1" outlineLevel="2" x14ac:dyDescent="0.3">
      <c r="A143" s="62" t="s">
        <v>200</v>
      </c>
      <c r="B143" s="63" t="s">
        <v>195</v>
      </c>
      <c r="C143" s="64" t="s">
        <v>10</v>
      </c>
      <c r="D143" s="68">
        <v>72</v>
      </c>
      <c r="E143" s="65"/>
      <c r="F143" s="65"/>
      <c r="G143" s="65">
        <v>34.049999999999997</v>
      </c>
      <c r="H143" s="65"/>
      <c r="I143" s="66"/>
      <c r="J143" s="66">
        <f t="shared" si="13"/>
        <v>2451.6</v>
      </c>
      <c r="K143" s="67" t="s">
        <v>397</v>
      </c>
      <c r="L143" s="67" t="s">
        <v>338</v>
      </c>
      <c r="M143" s="3"/>
    </row>
    <row r="144" spans="1:13" hidden="1" outlineLevel="2" x14ac:dyDescent="0.3">
      <c r="A144" s="62" t="s">
        <v>450</v>
      </c>
      <c r="B144" s="63" t="s">
        <v>208</v>
      </c>
      <c r="C144" s="64" t="s">
        <v>75</v>
      </c>
      <c r="D144" s="64">
        <v>1</v>
      </c>
      <c r="E144" s="65"/>
      <c r="F144" s="65"/>
      <c r="G144" s="65">
        <v>868.91</v>
      </c>
      <c r="H144" s="65"/>
      <c r="I144" s="66"/>
      <c r="J144" s="66">
        <f t="shared" si="13"/>
        <v>868.91</v>
      </c>
      <c r="K144" s="67" t="s">
        <v>399</v>
      </c>
      <c r="L144" s="67" t="s">
        <v>338</v>
      </c>
      <c r="M144" s="3"/>
    </row>
    <row r="145" spans="1:13" hidden="1" outlineLevel="2" x14ac:dyDescent="0.3">
      <c r="A145" s="62" t="s">
        <v>368</v>
      </c>
      <c r="B145" s="63" t="s">
        <v>160</v>
      </c>
      <c r="C145" s="64" t="s">
        <v>75</v>
      </c>
      <c r="D145" s="64">
        <v>1</v>
      </c>
      <c r="E145" s="65"/>
      <c r="F145" s="65"/>
      <c r="G145" s="65"/>
      <c r="H145" s="65"/>
      <c r="I145" s="66"/>
      <c r="J145" s="66"/>
      <c r="K145" s="67"/>
      <c r="L145" s="67"/>
      <c r="M145" s="3"/>
    </row>
    <row r="146" spans="1:13" hidden="1" outlineLevel="2" x14ac:dyDescent="0.3">
      <c r="A146" s="62" t="s">
        <v>369</v>
      </c>
      <c r="B146" s="63" t="s">
        <v>97</v>
      </c>
      <c r="C146" s="64" t="s">
        <v>75</v>
      </c>
      <c r="D146" s="64">
        <v>2</v>
      </c>
      <c r="E146" s="65"/>
      <c r="F146" s="65"/>
      <c r="G146" s="65">
        <v>19.29</v>
      </c>
      <c r="H146" s="65"/>
      <c r="I146" s="66"/>
      <c r="J146" s="66">
        <f>G146*D146</f>
        <v>38.58</v>
      </c>
      <c r="K146" s="67" t="s">
        <v>400</v>
      </c>
      <c r="L146" s="67" t="s">
        <v>338</v>
      </c>
      <c r="M146" s="3"/>
    </row>
    <row r="147" spans="1:13" hidden="1" outlineLevel="2" x14ac:dyDescent="0.3">
      <c r="A147" s="62" t="s">
        <v>370</v>
      </c>
      <c r="B147" s="63" t="s">
        <v>98</v>
      </c>
      <c r="C147" s="64" t="s">
        <v>75</v>
      </c>
      <c r="D147" s="64">
        <v>1</v>
      </c>
      <c r="E147" s="65"/>
      <c r="F147" s="65"/>
      <c r="G147" s="65">
        <v>19.29</v>
      </c>
      <c r="H147" s="65"/>
      <c r="I147" s="66"/>
      <c r="J147" s="66">
        <f>G147*D147</f>
        <v>19.29</v>
      </c>
      <c r="K147" s="67" t="s">
        <v>400</v>
      </c>
      <c r="L147" s="67" t="s">
        <v>338</v>
      </c>
      <c r="M147" s="3"/>
    </row>
    <row r="148" spans="1:13" hidden="1" outlineLevel="2" x14ac:dyDescent="0.3">
      <c r="A148" s="62" t="s">
        <v>371</v>
      </c>
      <c r="B148" s="63" t="s">
        <v>99</v>
      </c>
      <c r="C148" s="64" t="s">
        <v>75</v>
      </c>
      <c r="D148" s="64">
        <v>1</v>
      </c>
      <c r="E148" s="65"/>
      <c r="F148" s="65"/>
      <c r="G148" s="65">
        <v>19.29</v>
      </c>
      <c r="H148" s="65"/>
      <c r="I148" s="66"/>
      <c r="J148" s="66">
        <f>G148*D148</f>
        <v>19.29</v>
      </c>
      <c r="K148" s="67" t="s">
        <v>400</v>
      </c>
      <c r="L148" s="67" t="s">
        <v>338</v>
      </c>
      <c r="M148" s="3"/>
    </row>
    <row r="149" spans="1:13" hidden="1" outlineLevel="2" x14ac:dyDescent="0.3">
      <c r="A149" s="62" t="s">
        <v>372</v>
      </c>
      <c r="B149" s="63" t="s">
        <v>100</v>
      </c>
      <c r="C149" s="64" t="s">
        <v>75</v>
      </c>
      <c r="D149" s="64">
        <v>1</v>
      </c>
      <c r="E149" s="65"/>
      <c r="F149" s="65"/>
      <c r="G149" s="65">
        <v>162.52000000000001</v>
      </c>
      <c r="H149" s="65"/>
      <c r="I149" s="66"/>
      <c r="J149" s="66">
        <f>G149*D149</f>
        <v>162.52000000000001</v>
      </c>
      <c r="K149" s="67" t="s">
        <v>401</v>
      </c>
      <c r="L149" s="67" t="s">
        <v>338</v>
      </c>
      <c r="M149" s="3"/>
    </row>
    <row r="150" spans="1:13" hidden="1" outlineLevel="2" x14ac:dyDescent="0.3">
      <c r="A150" s="62" t="s">
        <v>373</v>
      </c>
      <c r="B150" s="63" t="s">
        <v>101</v>
      </c>
      <c r="C150" s="64" t="s">
        <v>75</v>
      </c>
      <c r="D150" s="64">
        <v>1</v>
      </c>
      <c r="E150" s="65"/>
      <c r="F150" s="65"/>
      <c r="G150" s="65"/>
      <c r="H150" s="65"/>
      <c r="I150" s="66"/>
      <c r="J150" s="66"/>
      <c r="K150" s="67"/>
      <c r="L150" s="67"/>
      <c r="M150" s="3"/>
    </row>
    <row r="151" spans="1:13" hidden="1" outlineLevel="2" x14ac:dyDescent="0.3">
      <c r="A151" s="62" t="s">
        <v>374</v>
      </c>
      <c r="B151" s="63" t="s">
        <v>102</v>
      </c>
      <c r="C151" s="64" t="s">
        <v>75</v>
      </c>
      <c r="D151" s="64">
        <v>1</v>
      </c>
      <c r="E151" s="65"/>
      <c r="F151" s="65"/>
      <c r="G151" s="69">
        <v>92.38</v>
      </c>
      <c r="H151" s="65"/>
      <c r="I151" s="66"/>
      <c r="J151" s="66">
        <f>92.38*D151</f>
        <v>92.38</v>
      </c>
      <c r="K151" s="70" t="s">
        <v>402</v>
      </c>
      <c r="L151" s="70" t="s">
        <v>340</v>
      </c>
      <c r="M151" s="3"/>
    </row>
    <row r="152" spans="1:13" s="7" customFormat="1" collapsed="1" x14ac:dyDescent="0.3">
      <c r="A152" s="71">
        <v>13</v>
      </c>
      <c r="B152" s="72" t="s">
        <v>28</v>
      </c>
      <c r="C152" s="73"/>
      <c r="D152" s="71"/>
      <c r="E152" s="74"/>
      <c r="F152" s="74"/>
      <c r="G152" s="74"/>
      <c r="H152" s="74"/>
      <c r="I152" s="74"/>
      <c r="J152" s="74">
        <f>J153+J159+J173+J180</f>
        <v>53268.240000000005</v>
      </c>
      <c r="K152" s="34"/>
      <c r="L152" s="34"/>
      <c r="M152" s="58"/>
    </row>
    <row r="153" spans="1:13" s="16" customFormat="1" ht="15" hidden="1" outlineLevel="1" x14ac:dyDescent="0.3">
      <c r="A153" s="91" t="s">
        <v>504</v>
      </c>
      <c r="B153" s="92" t="s">
        <v>181</v>
      </c>
      <c r="C153" s="98"/>
      <c r="D153" s="90"/>
      <c r="E153" s="99"/>
      <c r="F153" s="99"/>
      <c r="G153" s="99"/>
      <c r="H153" s="99"/>
      <c r="I153" s="98"/>
      <c r="J153" s="94">
        <f>SUM(J155:J158)</f>
        <v>3822.95</v>
      </c>
      <c r="K153" s="100"/>
      <c r="L153" s="100"/>
      <c r="M153" s="59"/>
    </row>
    <row r="154" spans="1:13" s="7" customFormat="1" hidden="1" outlineLevel="2" x14ac:dyDescent="0.3">
      <c r="A154" s="153" t="s">
        <v>515</v>
      </c>
      <c r="B154" s="152" t="s">
        <v>196</v>
      </c>
      <c r="C154" s="128"/>
      <c r="D154" s="128"/>
      <c r="E154" s="195"/>
      <c r="F154" s="196"/>
      <c r="G154" s="196"/>
      <c r="H154" s="196"/>
      <c r="I154" s="196"/>
      <c r="J154" s="196"/>
      <c r="K154" s="196"/>
      <c r="L154" s="197"/>
      <c r="M154" s="3"/>
    </row>
    <row r="155" spans="1:13" s="7" customFormat="1" hidden="1" outlineLevel="2" x14ac:dyDescent="0.3">
      <c r="A155" s="62" t="s">
        <v>517</v>
      </c>
      <c r="B155" s="63" t="s">
        <v>555</v>
      </c>
      <c r="C155" s="64" t="s">
        <v>10</v>
      </c>
      <c r="D155" s="64">
        <f>107</f>
        <v>107</v>
      </c>
      <c r="E155" s="89"/>
      <c r="F155" s="89"/>
      <c r="G155" s="65">
        <v>13.11</v>
      </c>
      <c r="H155" s="65"/>
      <c r="I155" s="66"/>
      <c r="J155" s="66">
        <f>G155*D155</f>
        <v>1402.77</v>
      </c>
      <c r="K155" s="70"/>
      <c r="L155" s="67"/>
      <c r="M155" s="3"/>
    </row>
    <row r="156" spans="1:13" s="7" customFormat="1" hidden="1" outlineLevel="2" x14ac:dyDescent="0.3">
      <c r="A156" s="62" t="s">
        <v>518</v>
      </c>
      <c r="B156" s="63" t="s">
        <v>197</v>
      </c>
      <c r="C156" s="64" t="s">
        <v>75</v>
      </c>
      <c r="D156" s="64">
        <f>6</f>
        <v>6</v>
      </c>
      <c r="E156" s="89"/>
      <c r="F156" s="89"/>
      <c r="G156" s="65">
        <v>2.02</v>
      </c>
      <c r="H156" s="65"/>
      <c r="I156" s="66"/>
      <c r="J156" s="66">
        <f>G156*D156</f>
        <v>12.120000000000001</v>
      </c>
      <c r="K156" s="70"/>
      <c r="L156" s="67"/>
      <c r="M156" s="3"/>
    </row>
    <row r="157" spans="1:13" s="18" customFormat="1" ht="15" hidden="1" outlineLevel="2" x14ac:dyDescent="0.3">
      <c r="A157" s="62" t="s">
        <v>519</v>
      </c>
      <c r="B157" s="63" t="s">
        <v>198</v>
      </c>
      <c r="C157" s="64" t="s">
        <v>75</v>
      </c>
      <c r="D157" s="64">
        <f>2</f>
        <v>2</v>
      </c>
      <c r="E157" s="89"/>
      <c r="F157" s="89"/>
      <c r="G157" s="65">
        <v>4.03</v>
      </c>
      <c r="H157" s="65"/>
      <c r="I157" s="66"/>
      <c r="J157" s="66">
        <f>G157*D157</f>
        <v>8.06</v>
      </c>
      <c r="K157" s="70"/>
      <c r="L157" s="67"/>
      <c r="M157" s="60"/>
    </row>
    <row r="158" spans="1:13" s="7" customFormat="1" hidden="1" outlineLevel="2" x14ac:dyDescent="0.3">
      <c r="A158" s="62" t="s">
        <v>559</v>
      </c>
      <c r="B158" s="63" t="s">
        <v>558</v>
      </c>
      <c r="C158" s="64" t="s">
        <v>6</v>
      </c>
      <c r="D158" s="64">
        <v>6</v>
      </c>
      <c r="E158" s="89"/>
      <c r="F158" s="89"/>
      <c r="G158" s="65">
        <v>400</v>
      </c>
      <c r="H158" s="65"/>
      <c r="I158" s="66"/>
      <c r="J158" s="66">
        <f t="shared" ref="J158" si="14">G158*D158</f>
        <v>2400</v>
      </c>
      <c r="K158" s="67"/>
      <c r="L158" s="67"/>
      <c r="M158" s="3"/>
    </row>
    <row r="159" spans="1:13" hidden="1" outlineLevel="1" x14ac:dyDescent="0.3">
      <c r="A159" s="91" t="s">
        <v>505</v>
      </c>
      <c r="B159" s="92" t="s">
        <v>180</v>
      </c>
      <c r="C159" s="98"/>
      <c r="D159" s="98"/>
      <c r="E159" s="99"/>
      <c r="F159" s="99"/>
      <c r="G159" s="99"/>
      <c r="H159" s="99"/>
      <c r="I159" s="98"/>
      <c r="J159" s="94">
        <f>SUM(J161:J172)</f>
        <v>2896.4199999999996</v>
      </c>
      <c r="K159" s="100"/>
      <c r="L159" s="100"/>
      <c r="M159" s="3"/>
    </row>
    <row r="160" spans="1:13" hidden="1" outlineLevel="2" x14ac:dyDescent="0.3">
      <c r="A160" s="153" t="s">
        <v>516</v>
      </c>
      <c r="B160" s="169" t="s">
        <v>199</v>
      </c>
      <c r="C160" s="169"/>
      <c r="D160" s="169"/>
      <c r="E160" s="160"/>
      <c r="F160" s="161"/>
      <c r="G160" s="161"/>
      <c r="H160" s="161"/>
      <c r="I160" s="161"/>
      <c r="J160" s="161"/>
      <c r="K160" s="161"/>
      <c r="L160" s="162"/>
      <c r="M160" s="3"/>
    </row>
    <row r="161" spans="1:13" hidden="1" outlineLevel="2" x14ac:dyDescent="0.3">
      <c r="A161" s="62" t="s">
        <v>520</v>
      </c>
      <c r="B161" s="103" t="s">
        <v>79</v>
      </c>
      <c r="C161" s="64" t="s">
        <v>10</v>
      </c>
      <c r="D161" s="64">
        <f>20</f>
        <v>20</v>
      </c>
      <c r="E161" s="89"/>
      <c r="F161" s="89"/>
      <c r="G161" s="65">
        <v>17.57</v>
      </c>
      <c r="H161" s="65"/>
      <c r="I161" s="66"/>
      <c r="J161" s="66">
        <f t="shared" ref="J161:J162" si="15">G161*D161</f>
        <v>351.4</v>
      </c>
      <c r="K161" s="67"/>
      <c r="L161" s="67"/>
      <c r="M161" s="3"/>
    </row>
    <row r="162" spans="1:13" hidden="1" outlineLevel="2" x14ac:dyDescent="0.3">
      <c r="A162" s="62" t="s">
        <v>521</v>
      </c>
      <c r="B162" s="103" t="s">
        <v>80</v>
      </c>
      <c r="C162" s="64" t="s">
        <v>10</v>
      </c>
      <c r="D162" s="64">
        <f>12</f>
        <v>12</v>
      </c>
      <c r="E162" s="89"/>
      <c r="F162" s="89"/>
      <c r="G162" s="65">
        <v>25.15</v>
      </c>
      <c r="H162" s="65"/>
      <c r="I162" s="66"/>
      <c r="J162" s="66">
        <f t="shared" si="15"/>
        <v>301.79999999999995</v>
      </c>
      <c r="K162" s="67"/>
      <c r="L162" s="67"/>
      <c r="M162" s="3"/>
    </row>
    <row r="163" spans="1:13" hidden="1" outlineLevel="2" x14ac:dyDescent="0.3">
      <c r="A163" s="62" t="s">
        <v>560</v>
      </c>
      <c r="B163" s="103" t="s">
        <v>81</v>
      </c>
      <c r="C163" s="64" t="s">
        <v>10</v>
      </c>
      <c r="D163" s="64">
        <f>12</f>
        <v>12</v>
      </c>
      <c r="E163" s="89"/>
      <c r="F163" s="89"/>
      <c r="G163" s="65">
        <v>39.42</v>
      </c>
      <c r="H163" s="65"/>
      <c r="I163" s="66"/>
      <c r="J163" s="66">
        <f t="shared" ref="J163:J165" si="16">G163*D163</f>
        <v>473.04</v>
      </c>
      <c r="K163" s="67"/>
      <c r="L163" s="67"/>
      <c r="M163" s="3"/>
    </row>
    <row r="164" spans="1:13" hidden="1" outlineLevel="2" x14ac:dyDescent="0.3">
      <c r="A164" s="62" t="s">
        <v>522</v>
      </c>
      <c r="B164" s="103" t="s">
        <v>556</v>
      </c>
      <c r="C164" s="64" t="s">
        <v>75</v>
      </c>
      <c r="D164" s="64">
        <f>12</f>
        <v>12</v>
      </c>
      <c r="E164" s="89"/>
      <c r="F164" s="89"/>
      <c r="G164" s="65">
        <v>5.92</v>
      </c>
      <c r="H164" s="65"/>
      <c r="I164" s="66"/>
      <c r="J164" s="66">
        <f t="shared" si="16"/>
        <v>71.039999999999992</v>
      </c>
      <c r="K164" s="67"/>
      <c r="L164" s="67"/>
      <c r="M164" s="3"/>
    </row>
    <row r="165" spans="1:13" hidden="1" outlineLevel="2" x14ac:dyDescent="0.3">
      <c r="A165" s="62" t="s">
        <v>523</v>
      </c>
      <c r="B165" s="103" t="s">
        <v>557</v>
      </c>
      <c r="C165" s="64" t="s">
        <v>75</v>
      </c>
      <c r="D165" s="64">
        <f>6</f>
        <v>6</v>
      </c>
      <c r="E165" s="89"/>
      <c r="F165" s="89"/>
      <c r="G165" s="65">
        <v>28.76</v>
      </c>
      <c r="H165" s="65"/>
      <c r="I165" s="66"/>
      <c r="J165" s="66">
        <f t="shared" si="16"/>
        <v>172.56</v>
      </c>
      <c r="K165" s="67"/>
      <c r="L165" s="67"/>
      <c r="M165" s="3"/>
    </row>
    <row r="166" spans="1:13" hidden="1" outlineLevel="2" x14ac:dyDescent="0.3">
      <c r="A166" s="62" t="s">
        <v>524</v>
      </c>
      <c r="B166" s="103" t="s">
        <v>553</v>
      </c>
      <c r="C166" s="64" t="s">
        <v>75</v>
      </c>
      <c r="D166" s="64">
        <f>6</f>
        <v>6</v>
      </c>
      <c r="E166" s="89"/>
      <c r="F166" s="89"/>
      <c r="G166" s="65">
        <v>28.45</v>
      </c>
      <c r="H166" s="65"/>
      <c r="I166" s="66"/>
      <c r="J166" s="66">
        <f>G166*D166</f>
        <v>170.7</v>
      </c>
      <c r="K166" s="67"/>
      <c r="L166" s="67"/>
      <c r="M166" s="3"/>
    </row>
    <row r="167" spans="1:13" hidden="1" outlineLevel="2" x14ac:dyDescent="0.3">
      <c r="A167" s="62" t="s">
        <v>561</v>
      </c>
      <c r="B167" s="103" t="s">
        <v>427</v>
      </c>
      <c r="C167" s="64" t="s">
        <v>75</v>
      </c>
      <c r="D167" s="64">
        <f>6</f>
        <v>6</v>
      </c>
      <c r="E167" s="89"/>
      <c r="F167" s="89"/>
      <c r="G167" s="65">
        <v>83.86</v>
      </c>
      <c r="H167" s="65"/>
      <c r="I167" s="66"/>
      <c r="J167" s="66">
        <f>G167*D167</f>
        <v>503.15999999999997</v>
      </c>
      <c r="K167" s="67"/>
      <c r="L167" s="67"/>
      <c r="M167" s="3"/>
    </row>
    <row r="168" spans="1:13" hidden="1" outlineLevel="2" x14ac:dyDescent="0.3">
      <c r="A168" s="62" t="s">
        <v>525</v>
      </c>
      <c r="B168" s="103" t="s">
        <v>554</v>
      </c>
      <c r="C168" s="64" t="s">
        <v>75</v>
      </c>
      <c r="D168" s="64">
        <f>3</f>
        <v>3</v>
      </c>
      <c r="E168" s="89"/>
      <c r="F168" s="89"/>
      <c r="G168" s="65">
        <v>23.5</v>
      </c>
      <c r="H168" s="65"/>
      <c r="I168" s="66"/>
      <c r="J168" s="66">
        <f>G168*D168</f>
        <v>70.5</v>
      </c>
      <c r="K168" s="67"/>
      <c r="L168" s="67"/>
      <c r="M168" s="3"/>
    </row>
    <row r="169" spans="1:13" hidden="1" outlineLevel="2" x14ac:dyDescent="0.3">
      <c r="A169" s="62" t="s">
        <v>562</v>
      </c>
      <c r="B169" s="103" t="s">
        <v>82</v>
      </c>
      <c r="C169" s="64" t="s">
        <v>75</v>
      </c>
      <c r="D169" s="64">
        <f>12</f>
        <v>12</v>
      </c>
      <c r="E169" s="89"/>
      <c r="F169" s="89"/>
      <c r="G169" s="65">
        <v>15.6</v>
      </c>
      <c r="H169" s="65"/>
      <c r="I169" s="66"/>
      <c r="J169" s="66">
        <f>G169*D169</f>
        <v>187.2</v>
      </c>
      <c r="K169" s="67"/>
      <c r="L169" s="67"/>
      <c r="M169" s="3"/>
    </row>
    <row r="170" spans="1:13" hidden="1" outlineLevel="2" x14ac:dyDescent="0.3">
      <c r="A170" s="62" t="s">
        <v>563</v>
      </c>
      <c r="B170" s="103" t="s">
        <v>552</v>
      </c>
      <c r="C170" s="64" t="s">
        <v>75</v>
      </c>
      <c r="D170" s="64">
        <f>6</f>
        <v>6</v>
      </c>
      <c r="E170" s="89"/>
      <c r="F170" s="89"/>
      <c r="G170" s="65">
        <v>30.38</v>
      </c>
      <c r="H170" s="65"/>
      <c r="I170" s="66"/>
      <c r="J170" s="66">
        <f t="shared" ref="J170:J172" si="17">G170*D170</f>
        <v>182.28</v>
      </c>
      <c r="K170" s="67"/>
      <c r="L170" s="67"/>
      <c r="M170" s="3"/>
    </row>
    <row r="171" spans="1:13" hidden="1" outlineLevel="2" x14ac:dyDescent="0.3">
      <c r="A171" s="62" t="s">
        <v>564</v>
      </c>
      <c r="B171" s="103" t="s">
        <v>404</v>
      </c>
      <c r="C171" s="64" t="s">
        <v>6</v>
      </c>
      <c r="D171" s="64">
        <f>1</f>
        <v>1</v>
      </c>
      <c r="E171" s="89"/>
      <c r="F171" s="89"/>
      <c r="G171" s="65">
        <v>11.62</v>
      </c>
      <c r="H171" s="65"/>
      <c r="I171" s="66"/>
      <c r="J171" s="66">
        <f t="shared" si="17"/>
        <v>11.62</v>
      </c>
      <c r="K171" s="67"/>
      <c r="L171" s="67"/>
      <c r="M171" s="3"/>
    </row>
    <row r="172" spans="1:13" s="18" customFormat="1" ht="15" hidden="1" outlineLevel="2" x14ac:dyDescent="0.3">
      <c r="A172" s="62" t="s">
        <v>526</v>
      </c>
      <c r="B172" s="103" t="s">
        <v>405</v>
      </c>
      <c r="C172" s="64" t="s">
        <v>6</v>
      </c>
      <c r="D172" s="64">
        <f>1</f>
        <v>1</v>
      </c>
      <c r="E172" s="89"/>
      <c r="F172" s="89"/>
      <c r="G172" s="65">
        <v>401.12</v>
      </c>
      <c r="H172" s="65"/>
      <c r="I172" s="66"/>
      <c r="J172" s="66">
        <f t="shared" si="17"/>
        <v>401.12</v>
      </c>
      <c r="K172" s="67"/>
      <c r="L172" s="67"/>
      <c r="M172" s="60"/>
    </row>
    <row r="173" spans="1:13" s="12" customFormat="1" hidden="1" outlineLevel="1" x14ac:dyDescent="0.3">
      <c r="A173" s="91" t="s">
        <v>507</v>
      </c>
      <c r="B173" s="92" t="s">
        <v>179</v>
      </c>
      <c r="C173" s="98"/>
      <c r="D173" s="98"/>
      <c r="E173" s="99"/>
      <c r="F173" s="99"/>
      <c r="G173" s="99"/>
      <c r="H173" s="99"/>
      <c r="I173" s="98"/>
      <c r="J173" s="94">
        <f>SUM(J175:J179)</f>
        <v>35362.950000000004</v>
      </c>
      <c r="K173" s="100"/>
      <c r="L173" s="100"/>
      <c r="M173" s="57"/>
    </row>
    <row r="174" spans="1:13" hidden="1" outlineLevel="2" x14ac:dyDescent="0.3">
      <c r="A174" s="62" t="s">
        <v>403</v>
      </c>
      <c r="B174" s="156" t="s">
        <v>78</v>
      </c>
      <c r="C174" s="157"/>
      <c r="D174" s="158"/>
      <c r="E174" s="160"/>
      <c r="F174" s="161"/>
      <c r="G174" s="161"/>
      <c r="H174" s="161"/>
      <c r="I174" s="161"/>
      <c r="J174" s="161"/>
      <c r="K174" s="161"/>
      <c r="L174" s="162"/>
      <c r="M174" s="3"/>
    </row>
    <row r="175" spans="1:13" hidden="1" outlineLevel="2" x14ac:dyDescent="0.3">
      <c r="A175" s="62" t="s">
        <v>546</v>
      </c>
      <c r="B175" s="63" t="s">
        <v>81</v>
      </c>
      <c r="C175" s="64" t="s">
        <v>10</v>
      </c>
      <c r="D175" s="64">
        <f>35*12</f>
        <v>420</v>
      </c>
      <c r="E175" s="89"/>
      <c r="F175" s="89"/>
      <c r="G175" s="65">
        <v>39.42</v>
      </c>
      <c r="H175" s="65"/>
      <c r="I175" s="66"/>
      <c r="J175" s="66">
        <f>G175*D175</f>
        <v>16556.400000000001</v>
      </c>
      <c r="K175" s="67"/>
      <c r="L175" s="67"/>
      <c r="M175" s="3"/>
    </row>
    <row r="176" spans="1:13" hidden="1" outlineLevel="2" x14ac:dyDescent="0.3">
      <c r="A176" s="62" t="s">
        <v>547</v>
      </c>
      <c r="B176" s="63" t="s">
        <v>545</v>
      </c>
      <c r="C176" s="64" t="s">
        <v>75</v>
      </c>
      <c r="D176" s="64">
        <v>35</v>
      </c>
      <c r="E176" s="89"/>
      <c r="F176" s="89"/>
      <c r="G176" s="65">
        <v>28.45</v>
      </c>
      <c r="H176" s="65"/>
      <c r="I176" s="66"/>
      <c r="J176" s="66">
        <f>G176*D176</f>
        <v>995.75</v>
      </c>
      <c r="K176" s="67"/>
      <c r="L176" s="67"/>
      <c r="M176" s="3"/>
    </row>
    <row r="177" spans="1:13" hidden="1" outlineLevel="2" x14ac:dyDescent="0.3">
      <c r="A177" s="62" t="s">
        <v>548</v>
      </c>
      <c r="B177" s="63" t="s">
        <v>411</v>
      </c>
      <c r="C177" s="64" t="s">
        <v>75</v>
      </c>
      <c r="D177" s="64">
        <v>70</v>
      </c>
      <c r="E177" s="89"/>
      <c r="F177" s="89"/>
      <c r="G177" s="65">
        <v>32.26</v>
      </c>
      <c r="H177" s="65"/>
      <c r="I177" s="66"/>
      <c r="J177" s="66">
        <f>D177*G177</f>
        <v>2258.1999999999998</v>
      </c>
      <c r="K177" s="67"/>
      <c r="L177" s="67"/>
      <c r="M177" s="3"/>
    </row>
    <row r="178" spans="1:13" hidden="1" outlineLevel="2" x14ac:dyDescent="0.3">
      <c r="A178" s="62" t="s">
        <v>549</v>
      </c>
      <c r="B178" s="63" t="s">
        <v>83</v>
      </c>
      <c r="C178" s="64" t="s">
        <v>75</v>
      </c>
      <c r="D178" s="64">
        <v>35</v>
      </c>
      <c r="E178" s="89"/>
      <c r="F178" s="89"/>
      <c r="G178" s="65">
        <v>43.93</v>
      </c>
      <c r="H178" s="65"/>
      <c r="I178" s="66"/>
      <c r="J178" s="66">
        <f>G178*D178</f>
        <v>1537.55</v>
      </c>
      <c r="K178" s="67"/>
      <c r="L178" s="67"/>
      <c r="M178" s="3"/>
    </row>
    <row r="179" spans="1:13" s="18" customFormat="1" ht="15" hidden="1" outlineLevel="2" x14ac:dyDescent="0.3">
      <c r="A179" s="62" t="s">
        <v>550</v>
      </c>
      <c r="B179" s="63" t="s">
        <v>412</v>
      </c>
      <c r="C179" s="64" t="s">
        <v>75</v>
      </c>
      <c r="D179" s="64">
        <v>35</v>
      </c>
      <c r="E179" s="89"/>
      <c r="F179" s="89"/>
      <c r="G179" s="65">
        <v>400.43</v>
      </c>
      <c r="H179" s="65"/>
      <c r="I179" s="66"/>
      <c r="J179" s="66">
        <f>G179*D179</f>
        <v>14015.050000000001</v>
      </c>
      <c r="K179" s="67" t="s">
        <v>426</v>
      </c>
      <c r="L179" s="67" t="s">
        <v>338</v>
      </c>
      <c r="M179" s="60"/>
    </row>
    <row r="180" spans="1:13" s="10" customFormat="1" hidden="1" outlineLevel="1" x14ac:dyDescent="0.3">
      <c r="A180" s="91" t="s">
        <v>506</v>
      </c>
      <c r="B180" s="92" t="s">
        <v>178</v>
      </c>
      <c r="C180" s="98"/>
      <c r="D180" s="98"/>
      <c r="E180" s="99"/>
      <c r="F180" s="99"/>
      <c r="G180" s="99"/>
      <c r="H180" s="99"/>
      <c r="I180" s="98"/>
      <c r="J180" s="94">
        <f>SUM(J181:J185)</f>
        <v>11185.92</v>
      </c>
      <c r="K180" s="100"/>
      <c r="L180" s="100"/>
      <c r="M180" s="13"/>
    </row>
    <row r="181" spans="1:13" s="10" customFormat="1" hidden="1" outlineLevel="2" x14ac:dyDescent="0.3">
      <c r="A181" s="62" t="s">
        <v>406</v>
      </c>
      <c r="B181" s="63" t="s">
        <v>248</v>
      </c>
      <c r="C181" s="64" t="s">
        <v>6</v>
      </c>
      <c r="D181" s="101">
        <v>6</v>
      </c>
      <c r="E181" s="65"/>
      <c r="F181" s="65"/>
      <c r="G181" s="65">
        <v>550.66</v>
      </c>
      <c r="H181" s="65"/>
      <c r="I181" s="66"/>
      <c r="J181" s="66">
        <f>G181*D181</f>
        <v>3303.96</v>
      </c>
      <c r="K181" s="67" t="s">
        <v>327</v>
      </c>
      <c r="L181" s="67" t="s">
        <v>338</v>
      </c>
      <c r="M181" s="3"/>
    </row>
    <row r="182" spans="1:13" s="10" customFormat="1" ht="28.8" hidden="1" outlineLevel="2" x14ac:dyDescent="0.3">
      <c r="A182" s="62" t="s">
        <v>407</v>
      </c>
      <c r="B182" s="63" t="s">
        <v>343</v>
      </c>
      <c r="C182" s="64" t="s">
        <v>6</v>
      </c>
      <c r="D182" s="101">
        <v>6</v>
      </c>
      <c r="E182" s="65"/>
      <c r="F182" s="65"/>
      <c r="G182" s="65">
        <v>290.08999999999997</v>
      </c>
      <c r="H182" s="65"/>
      <c r="I182" s="66"/>
      <c r="J182" s="66">
        <f>G182*D182</f>
        <v>1740.54</v>
      </c>
      <c r="K182" s="67" t="s">
        <v>342</v>
      </c>
      <c r="L182" s="67" t="s">
        <v>340</v>
      </c>
      <c r="M182" s="3"/>
    </row>
    <row r="183" spans="1:13" s="10" customFormat="1" hidden="1" outlineLevel="2" x14ac:dyDescent="0.3">
      <c r="A183" s="62" t="s">
        <v>408</v>
      </c>
      <c r="B183" s="63" t="s">
        <v>344</v>
      </c>
      <c r="C183" s="64" t="s">
        <v>6</v>
      </c>
      <c r="D183" s="101">
        <v>6</v>
      </c>
      <c r="E183" s="65"/>
      <c r="F183" s="65"/>
      <c r="G183" s="65">
        <v>48.82</v>
      </c>
      <c r="H183" s="65"/>
      <c r="I183" s="66"/>
      <c r="J183" s="66">
        <f t="shared" ref="J183:J185" si="18">G183*D183</f>
        <v>292.92</v>
      </c>
      <c r="K183" s="67" t="s">
        <v>328</v>
      </c>
      <c r="L183" s="67" t="s">
        <v>338</v>
      </c>
      <c r="M183" s="13"/>
    </row>
    <row r="184" spans="1:13" s="10" customFormat="1" ht="28.8" hidden="1" outlineLevel="2" x14ac:dyDescent="0.3">
      <c r="A184" s="62" t="s">
        <v>409</v>
      </c>
      <c r="B184" s="63" t="s">
        <v>345</v>
      </c>
      <c r="C184" s="64" t="s">
        <v>6</v>
      </c>
      <c r="D184" s="101">
        <v>6</v>
      </c>
      <c r="E184" s="65"/>
      <c r="F184" s="65"/>
      <c r="G184" s="65">
        <v>856.36</v>
      </c>
      <c r="H184" s="65"/>
      <c r="I184" s="66"/>
      <c r="J184" s="66">
        <f t="shared" si="18"/>
        <v>5138.16</v>
      </c>
      <c r="K184" s="67" t="s">
        <v>329</v>
      </c>
      <c r="L184" s="67" t="s">
        <v>338</v>
      </c>
      <c r="M184" s="13"/>
    </row>
    <row r="185" spans="1:13" s="10" customFormat="1" hidden="1" outlineLevel="2" x14ac:dyDescent="0.3">
      <c r="A185" s="62" t="s">
        <v>410</v>
      </c>
      <c r="B185" s="63" t="s">
        <v>346</v>
      </c>
      <c r="C185" s="64" t="s">
        <v>6</v>
      </c>
      <c r="D185" s="101">
        <v>6</v>
      </c>
      <c r="E185" s="65"/>
      <c r="F185" s="65"/>
      <c r="G185" s="65">
        <v>118.39</v>
      </c>
      <c r="H185" s="65"/>
      <c r="I185" s="66"/>
      <c r="J185" s="66">
        <f t="shared" si="18"/>
        <v>710.34</v>
      </c>
      <c r="K185" s="67" t="s">
        <v>330</v>
      </c>
      <c r="L185" s="67" t="s">
        <v>338</v>
      </c>
      <c r="M185" s="13"/>
    </row>
    <row r="186" spans="1:13" s="10" customFormat="1" collapsed="1" x14ac:dyDescent="0.3">
      <c r="A186" s="71">
        <v>14</v>
      </c>
      <c r="B186" s="72" t="s">
        <v>73</v>
      </c>
      <c r="C186" s="73"/>
      <c r="D186" s="71"/>
      <c r="E186" s="74"/>
      <c r="F186" s="74"/>
      <c r="G186" s="74"/>
      <c r="H186" s="74"/>
      <c r="I186" s="74"/>
      <c r="J186" s="74">
        <f>SUM(J187:J191)</f>
        <v>3225.9100000000008</v>
      </c>
      <c r="K186" s="34"/>
      <c r="L186" s="34"/>
      <c r="M186" s="13"/>
    </row>
    <row r="187" spans="1:13" s="10" customFormat="1" hidden="1" outlineLevel="2" x14ac:dyDescent="0.3">
      <c r="A187" s="153" t="s">
        <v>149</v>
      </c>
      <c r="B187" s="159" t="s">
        <v>84</v>
      </c>
      <c r="C187" s="159"/>
      <c r="D187" s="159"/>
      <c r="E187" s="163"/>
      <c r="F187" s="164"/>
      <c r="G187" s="164"/>
      <c r="H187" s="164"/>
      <c r="I187" s="164"/>
      <c r="J187" s="164"/>
      <c r="K187" s="164"/>
      <c r="L187" s="165"/>
      <c r="M187" s="3"/>
    </row>
    <row r="188" spans="1:13" s="10" customFormat="1" hidden="1" outlineLevel="2" x14ac:dyDescent="0.3">
      <c r="A188" s="62" t="s">
        <v>150</v>
      </c>
      <c r="B188" s="103" t="s">
        <v>375</v>
      </c>
      <c r="C188" s="104" t="s">
        <v>10</v>
      </c>
      <c r="D188" s="104">
        <v>7</v>
      </c>
      <c r="E188" s="89"/>
      <c r="F188" s="89"/>
      <c r="G188" s="65">
        <v>240.99</v>
      </c>
      <c r="H188" s="65"/>
      <c r="I188" s="66"/>
      <c r="J188" s="66">
        <f t="shared" ref="J188" si="19">G188*D188</f>
        <v>1686.93</v>
      </c>
      <c r="K188" s="67" t="s">
        <v>424</v>
      </c>
      <c r="L188" s="67" t="s">
        <v>340</v>
      </c>
      <c r="M188" s="3"/>
    </row>
    <row r="189" spans="1:13" s="10" customFormat="1" hidden="1" outlineLevel="2" x14ac:dyDescent="0.3">
      <c r="A189" s="62" t="s">
        <v>527</v>
      </c>
      <c r="B189" s="103" t="s">
        <v>496</v>
      </c>
      <c r="C189" s="104" t="s">
        <v>75</v>
      </c>
      <c r="D189" s="104">
        <v>4</v>
      </c>
      <c r="E189" s="89"/>
      <c r="F189" s="89"/>
      <c r="G189" s="65">
        <v>240.99</v>
      </c>
      <c r="H189" s="65"/>
      <c r="I189" s="66"/>
      <c r="J189" s="66">
        <f t="shared" ref="J189:J190" si="20">G189*D189</f>
        <v>963.96</v>
      </c>
      <c r="K189" s="67" t="s">
        <v>424</v>
      </c>
      <c r="L189" s="67" t="s">
        <v>340</v>
      </c>
      <c r="M189" s="3"/>
    </row>
    <row r="190" spans="1:13" s="10" customFormat="1" hidden="1" outlineLevel="2" x14ac:dyDescent="0.3">
      <c r="A190" s="62" t="s">
        <v>528</v>
      </c>
      <c r="B190" s="103" t="s">
        <v>376</v>
      </c>
      <c r="C190" s="104" t="s">
        <v>75</v>
      </c>
      <c r="D190" s="104">
        <v>1</v>
      </c>
      <c r="E190" s="89"/>
      <c r="F190" s="89"/>
      <c r="G190" s="65">
        <v>287.51</v>
      </c>
      <c r="H190" s="65"/>
      <c r="I190" s="66"/>
      <c r="J190" s="66">
        <f t="shared" si="20"/>
        <v>287.51</v>
      </c>
      <c r="K190" s="67" t="s">
        <v>425</v>
      </c>
      <c r="L190" s="67" t="s">
        <v>340</v>
      </c>
      <c r="M190" s="3"/>
    </row>
    <row r="191" spans="1:13" s="10" customFormat="1" hidden="1" outlineLevel="2" x14ac:dyDescent="0.3">
      <c r="A191" s="62" t="s">
        <v>529</v>
      </c>
      <c r="B191" s="103" t="s">
        <v>376</v>
      </c>
      <c r="C191" s="104" t="s">
        <v>75</v>
      </c>
      <c r="D191" s="104">
        <v>1</v>
      </c>
      <c r="E191" s="89"/>
      <c r="F191" s="89"/>
      <c r="G191" s="65">
        <v>287.51</v>
      </c>
      <c r="H191" s="65"/>
      <c r="I191" s="66"/>
      <c r="J191" s="66">
        <f t="shared" ref="J191" si="21">G191*D191</f>
        <v>287.51</v>
      </c>
      <c r="K191" s="67" t="s">
        <v>425</v>
      </c>
      <c r="L191" s="67" t="s">
        <v>340</v>
      </c>
      <c r="M191" s="13"/>
    </row>
    <row r="192" spans="1:13" s="15" customFormat="1" collapsed="1" x14ac:dyDescent="0.3">
      <c r="A192" s="71">
        <v>15</v>
      </c>
      <c r="B192" s="72" t="s">
        <v>29</v>
      </c>
      <c r="C192" s="73"/>
      <c r="D192" s="71"/>
      <c r="E192" s="74"/>
      <c r="F192" s="74"/>
      <c r="G192" s="74"/>
      <c r="H192" s="74"/>
      <c r="I192" s="74"/>
      <c r="J192" s="74">
        <f>J193+J203+J211</f>
        <v>28587.97</v>
      </c>
      <c r="K192" s="34"/>
      <c r="L192" s="34"/>
      <c r="M192" s="57"/>
    </row>
    <row r="193" spans="1:13" s="10" customFormat="1" hidden="1" outlineLevel="1" x14ac:dyDescent="0.3">
      <c r="A193" s="91" t="s">
        <v>139</v>
      </c>
      <c r="B193" s="92" t="s">
        <v>172</v>
      </c>
      <c r="C193" s="94"/>
      <c r="D193" s="94"/>
      <c r="E193" s="93"/>
      <c r="F193" s="93"/>
      <c r="G193" s="93"/>
      <c r="H193" s="93"/>
      <c r="I193" s="94"/>
      <c r="J193" s="94">
        <f>SUM(J194:J202)</f>
        <v>11711.070000000002</v>
      </c>
      <c r="K193" s="95"/>
      <c r="L193" s="95"/>
      <c r="M193" s="13"/>
    </row>
    <row r="194" spans="1:13" s="10" customFormat="1" hidden="1" outlineLevel="2" x14ac:dyDescent="0.3">
      <c r="A194" s="62" t="s">
        <v>464</v>
      </c>
      <c r="B194" s="159" t="s">
        <v>167</v>
      </c>
      <c r="C194" s="159"/>
      <c r="D194" s="159"/>
      <c r="E194" s="166"/>
      <c r="F194" s="167"/>
      <c r="G194" s="167"/>
      <c r="H194" s="167"/>
      <c r="I194" s="167"/>
      <c r="J194" s="167"/>
      <c r="K194" s="167"/>
      <c r="L194" s="168"/>
      <c r="M194" s="3"/>
    </row>
    <row r="195" spans="1:13" s="10" customFormat="1" hidden="1" outlineLevel="2" x14ac:dyDescent="0.3">
      <c r="A195" s="62" t="s">
        <v>530</v>
      </c>
      <c r="B195" s="103" t="s">
        <v>85</v>
      </c>
      <c r="C195" s="104" t="s">
        <v>10</v>
      </c>
      <c r="D195" s="104">
        <f>5+8</f>
        <v>13</v>
      </c>
      <c r="E195" s="106"/>
      <c r="F195" s="106"/>
      <c r="G195" s="105">
        <v>392.13</v>
      </c>
      <c r="H195" s="106"/>
      <c r="I195" s="105"/>
      <c r="J195" s="107">
        <f t="shared" ref="J195:J202" si="22">G195*D195</f>
        <v>5097.6899999999996</v>
      </c>
      <c r="K195" s="70" t="s">
        <v>389</v>
      </c>
      <c r="L195" s="70" t="s">
        <v>340</v>
      </c>
      <c r="M195" s="3"/>
    </row>
    <row r="196" spans="1:13" s="10" customFormat="1" hidden="1" outlineLevel="2" x14ac:dyDescent="0.3">
      <c r="A196" s="62" t="s">
        <v>531</v>
      </c>
      <c r="B196" s="103" t="s">
        <v>86</v>
      </c>
      <c r="C196" s="104" t="s">
        <v>75</v>
      </c>
      <c r="D196" s="104">
        <v>1</v>
      </c>
      <c r="E196" s="106"/>
      <c r="F196" s="106"/>
      <c r="G196" s="105">
        <v>392.13</v>
      </c>
      <c r="H196" s="106"/>
      <c r="I196" s="105"/>
      <c r="J196" s="107">
        <f t="shared" si="22"/>
        <v>392.13</v>
      </c>
      <c r="K196" s="70" t="s">
        <v>389</v>
      </c>
      <c r="L196" s="70" t="s">
        <v>340</v>
      </c>
      <c r="M196" s="3"/>
    </row>
    <row r="197" spans="1:13" s="10" customFormat="1" hidden="1" outlineLevel="2" x14ac:dyDescent="0.3">
      <c r="A197" s="62" t="s">
        <v>532</v>
      </c>
      <c r="B197" s="103" t="s">
        <v>87</v>
      </c>
      <c r="C197" s="104" t="s">
        <v>75</v>
      </c>
      <c r="D197" s="104">
        <v>2</v>
      </c>
      <c r="E197" s="106"/>
      <c r="F197" s="106"/>
      <c r="G197" s="105">
        <v>581.59</v>
      </c>
      <c r="H197" s="106"/>
      <c r="I197" s="105"/>
      <c r="J197" s="107">
        <f t="shared" si="22"/>
        <v>1163.18</v>
      </c>
      <c r="K197" s="70" t="s">
        <v>390</v>
      </c>
      <c r="L197" s="70" t="s">
        <v>340</v>
      </c>
      <c r="M197" s="3"/>
    </row>
    <row r="198" spans="1:13" s="10" customFormat="1" hidden="1" outlineLevel="2" x14ac:dyDescent="0.3">
      <c r="A198" s="62" t="s">
        <v>533</v>
      </c>
      <c r="B198" s="103" t="s">
        <v>88</v>
      </c>
      <c r="C198" s="104" t="s">
        <v>75</v>
      </c>
      <c r="D198" s="104">
        <v>2</v>
      </c>
      <c r="E198" s="106"/>
      <c r="F198" s="106"/>
      <c r="G198" s="105">
        <v>481.46</v>
      </c>
      <c r="H198" s="106"/>
      <c r="I198" s="105"/>
      <c r="J198" s="107">
        <f t="shared" si="22"/>
        <v>962.92</v>
      </c>
      <c r="K198" s="70" t="s">
        <v>391</v>
      </c>
      <c r="L198" s="67" t="s">
        <v>338</v>
      </c>
      <c r="M198" s="3"/>
    </row>
    <row r="199" spans="1:13" s="10" customFormat="1" hidden="1" outlineLevel="2" x14ac:dyDescent="0.3">
      <c r="A199" s="62" t="s">
        <v>534</v>
      </c>
      <c r="B199" s="103" t="s">
        <v>89</v>
      </c>
      <c r="C199" s="104" t="s">
        <v>75</v>
      </c>
      <c r="D199" s="104">
        <f>2+3</f>
        <v>5</v>
      </c>
      <c r="E199" s="106"/>
      <c r="F199" s="106"/>
      <c r="G199" s="105">
        <v>392.13</v>
      </c>
      <c r="H199" s="106"/>
      <c r="I199" s="105"/>
      <c r="J199" s="107">
        <f t="shared" si="22"/>
        <v>1960.65</v>
      </c>
      <c r="K199" s="70" t="s">
        <v>389</v>
      </c>
      <c r="L199" s="70" t="s">
        <v>340</v>
      </c>
      <c r="M199" s="3"/>
    </row>
    <row r="200" spans="1:13" s="10" customFormat="1" hidden="1" outlineLevel="2" x14ac:dyDescent="0.3">
      <c r="A200" s="62" t="s">
        <v>535</v>
      </c>
      <c r="B200" s="103" t="s">
        <v>201</v>
      </c>
      <c r="C200" s="104" t="s">
        <v>75</v>
      </c>
      <c r="D200" s="104">
        <v>2</v>
      </c>
      <c r="E200" s="106"/>
      <c r="F200" s="106"/>
      <c r="G200" s="105">
        <v>392.13</v>
      </c>
      <c r="H200" s="106"/>
      <c r="I200" s="105"/>
      <c r="J200" s="107">
        <f t="shared" si="22"/>
        <v>784.26</v>
      </c>
      <c r="K200" s="70" t="s">
        <v>389</v>
      </c>
      <c r="L200" s="70" t="s">
        <v>340</v>
      </c>
      <c r="M200" s="3"/>
    </row>
    <row r="201" spans="1:13" s="10" customFormat="1" hidden="1" outlineLevel="2" x14ac:dyDescent="0.3">
      <c r="A201" s="62" t="s">
        <v>536</v>
      </c>
      <c r="B201" s="103" t="s">
        <v>33</v>
      </c>
      <c r="C201" s="104" t="s">
        <v>4</v>
      </c>
      <c r="D201" s="104">
        <v>2</v>
      </c>
      <c r="E201" s="106"/>
      <c r="F201" s="106"/>
      <c r="G201" s="105">
        <v>77.52</v>
      </c>
      <c r="H201" s="106"/>
      <c r="I201" s="105"/>
      <c r="J201" s="107">
        <f t="shared" si="22"/>
        <v>155.04</v>
      </c>
      <c r="K201" s="70" t="s">
        <v>392</v>
      </c>
      <c r="L201" s="67" t="s">
        <v>338</v>
      </c>
      <c r="M201" s="3"/>
    </row>
    <row r="202" spans="1:13" s="15" customFormat="1" hidden="1" outlineLevel="2" x14ac:dyDescent="0.3">
      <c r="A202" s="62" t="s">
        <v>537</v>
      </c>
      <c r="B202" s="103" t="s">
        <v>168</v>
      </c>
      <c r="C202" s="104" t="s">
        <v>75</v>
      </c>
      <c r="D202" s="104">
        <v>2</v>
      </c>
      <c r="E202" s="106"/>
      <c r="F202" s="106"/>
      <c r="G202" s="105">
        <v>597.6</v>
      </c>
      <c r="H202" s="106"/>
      <c r="I202" s="105"/>
      <c r="J202" s="107">
        <f t="shared" si="22"/>
        <v>1195.2</v>
      </c>
      <c r="K202" s="70" t="s">
        <v>393</v>
      </c>
      <c r="L202" s="67" t="s">
        <v>338</v>
      </c>
      <c r="M202" s="57"/>
    </row>
    <row r="203" spans="1:13" s="10" customFormat="1" hidden="1" outlineLevel="1" x14ac:dyDescent="0.3">
      <c r="A203" s="91" t="s">
        <v>140</v>
      </c>
      <c r="B203" s="92" t="s">
        <v>90</v>
      </c>
      <c r="C203" s="94" t="s">
        <v>131</v>
      </c>
      <c r="D203" s="94" t="s">
        <v>131</v>
      </c>
      <c r="E203" s="93"/>
      <c r="F203" s="93"/>
      <c r="G203" s="93"/>
      <c r="H203" s="93"/>
      <c r="I203" s="94"/>
      <c r="J203" s="94">
        <f>SUM(J204:J210)</f>
        <v>15803.399999999998</v>
      </c>
      <c r="K203" s="95"/>
      <c r="L203" s="95"/>
      <c r="M203" s="3"/>
    </row>
    <row r="204" spans="1:13" s="10" customFormat="1" hidden="1" outlineLevel="2" x14ac:dyDescent="0.3">
      <c r="A204" s="62" t="s">
        <v>457</v>
      </c>
      <c r="B204" s="103" t="s">
        <v>103</v>
      </c>
      <c r="C204" s="104" t="s">
        <v>75</v>
      </c>
      <c r="D204" s="104">
        <v>6</v>
      </c>
      <c r="E204" s="105"/>
      <c r="F204" s="106"/>
      <c r="G204" s="105">
        <v>17.63</v>
      </c>
      <c r="H204" s="106"/>
      <c r="I204" s="105"/>
      <c r="J204" s="107">
        <f t="shared" ref="J204:J210" si="23">G204*D204</f>
        <v>105.78</v>
      </c>
      <c r="K204" s="70" t="s">
        <v>413</v>
      </c>
      <c r="L204" s="67" t="s">
        <v>338</v>
      </c>
      <c r="M204" s="3"/>
    </row>
    <row r="205" spans="1:13" s="10" customFormat="1" hidden="1" outlineLevel="2" x14ac:dyDescent="0.3">
      <c r="A205" s="62" t="s">
        <v>458</v>
      </c>
      <c r="B205" s="103" t="s">
        <v>104</v>
      </c>
      <c r="C205" s="104" t="s">
        <v>10</v>
      </c>
      <c r="D205" s="104">
        <v>20</v>
      </c>
      <c r="E205" s="105"/>
      <c r="F205" s="106"/>
      <c r="G205" s="105">
        <v>39.39</v>
      </c>
      <c r="H205" s="106"/>
      <c r="I205" s="105"/>
      <c r="J205" s="107">
        <f t="shared" si="23"/>
        <v>787.8</v>
      </c>
      <c r="K205" s="70" t="s">
        <v>414</v>
      </c>
      <c r="L205" s="67" t="s">
        <v>338</v>
      </c>
      <c r="M205" s="3"/>
    </row>
    <row r="206" spans="1:13" s="10" customFormat="1" hidden="1" outlineLevel="2" x14ac:dyDescent="0.3">
      <c r="A206" s="62" t="s">
        <v>459</v>
      </c>
      <c r="B206" s="103" t="s">
        <v>105</v>
      </c>
      <c r="C206" s="104" t="s">
        <v>75</v>
      </c>
      <c r="D206" s="104">
        <v>10</v>
      </c>
      <c r="E206" s="105"/>
      <c r="F206" s="106"/>
      <c r="G206" s="105">
        <v>1244.54</v>
      </c>
      <c r="H206" s="106"/>
      <c r="I206" s="105"/>
      <c r="J206" s="107">
        <f t="shared" si="23"/>
        <v>12445.4</v>
      </c>
      <c r="K206" s="70" t="s">
        <v>415</v>
      </c>
      <c r="L206" s="70" t="s">
        <v>340</v>
      </c>
      <c r="M206" s="3"/>
    </row>
    <row r="207" spans="1:13" s="10" customFormat="1" hidden="1" outlineLevel="2" x14ac:dyDescent="0.3">
      <c r="A207" s="62" t="s">
        <v>460</v>
      </c>
      <c r="B207" s="103" t="s">
        <v>106</v>
      </c>
      <c r="C207" s="104" t="s">
        <v>75</v>
      </c>
      <c r="D207" s="104">
        <v>2</v>
      </c>
      <c r="E207" s="105"/>
      <c r="F207" s="106"/>
      <c r="G207" s="105">
        <v>175.96</v>
      </c>
      <c r="H207" s="106"/>
      <c r="I207" s="105"/>
      <c r="J207" s="107">
        <f t="shared" si="23"/>
        <v>351.92</v>
      </c>
      <c r="K207" s="70" t="s">
        <v>416</v>
      </c>
      <c r="L207" s="67" t="s">
        <v>338</v>
      </c>
      <c r="M207" s="3"/>
    </row>
    <row r="208" spans="1:13" s="10" customFormat="1" hidden="1" outlineLevel="2" x14ac:dyDescent="0.3">
      <c r="A208" s="62" t="s">
        <v>461</v>
      </c>
      <c r="B208" s="103" t="s">
        <v>107</v>
      </c>
      <c r="C208" s="104" t="s">
        <v>6</v>
      </c>
      <c r="D208" s="104">
        <v>2</v>
      </c>
      <c r="E208" s="105"/>
      <c r="F208" s="106"/>
      <c r="G208" s="105">
        <v>78.400000000000006</v>
      </c>
      <c r="H208" s="106"/>
      <c r="I208" s="105"/>
      <c r="J208" s="107">
        <f t="shared" si="23"/>
        <v>156.80000000000001</v>
      </c>
      <c r="K208" s="70" t="s">
        <v>417</v>
      </c>
      <c r="L208" s="70" t="s">
        <v>340</v>
      </c>
      <c r="M208" s="3"/>
    </row>
    <row r="209" spans="1:13" s="10" customFormat="1" hidden="1" outlineLevel="2" x14ac:dyDescent="0.3">
      <c r="A209" s="62" t="s">
        <v>462</v>
      </c>
      <c r="B209" s="103" t="s">
        <v>169</v>
      </c>
      <c r="C209" s="104" t="s">
        <v>6</v>
      </c>
      <c r="D209" s="104">
        <v>2</v>
      </c>
      <c r="E209" s="105"/>
      <c r="F209" s="106"/>
      <c r="G209" s="105">
        <v>162.03</v>
      </c>
      <c r="H209" s="106"/>
      <c r="I209" s="105"/>
      <c r="J209" s="107">
        <f t="shared" si="23"/>
        <v>324.06</v>
      </c>
      <c r="K209" s="70" t="s">
        <v>418</v>
      </c>
      <c r="L209" s="67" t="s">
        <v>338</v>
      </c>
      <c r="M209" s="3"/>
    </row>
    <row r="210" spans="1:13" s="15" customFormat="1" hidden="1" outlineLevel="2" x14ac:dyDescent="0.3">
      <c r="A210" s="62" t="s">
        <v>463</v>
      </c>
      <c r="B210" s="103" t="s">
        <v>170</v>
      </c>
      <c r="C210" s="104" t="s">
        <v>171</v>
      </c>
      <c r="D210" s="104">
        <v>1</v>
      </c>
      <c r="E210" s="105"/>
      <c r="F210" s="106"/>
      <c r="G210" s="105">
        <v>1631.64</v>
      </c>
      <c r="H210" s="106"/>
      <c r="I210" s="105"/>
      <c r="J210" s="107">
        <f t="shared" si="23"/>
        <v>1631.64</v>
      </c>
      <c r="K210" s="70" t="s">
        <v>419</v>
      </c>
      <c r="L210" s="67" t="s">
        <v>338</v>
      </c>
      <c r="M210" s="57"/>
    </row>
    <row r="211" spans="1:13" s="18" customFormat="1" ht="15" hidden="1" outlineLevel="1" x14ac:dyDescent="0.3">
      <c r="A211" s="91" t="s">
        <v>141</v>
      </c>
      <c r="B211" s="92" t="s">
        <v>91</v>
      </c>
      <c r="C211" s="102"/>
      <c r="D211" s="94"/>
      <c r="E211" s="93"/>
      <c r="F211" s="93"/>
      <c r="G211" s="93"/>
      <c r="H211" s="93"/>
      <c r="I211" s="94"/>
      <c r="J211" s="94">
        <f>SUM(J212:J215)</f>
        <v>1073.5</v>
      </c>
      <c r="K211" s="95"/>
      <c r="L211" s="95"/>
      <c r="M211" s="4"/>
    </row>
    <row r="212" spans="1:13" s="10" customFormat="1" hidden="1" outlineLevel="2" x14ac:dyDescent="0.3">
      <c r="A212" s="62" t="s">
        <v>453</v>
      </c>
      <c r="B212" s="103" t="s">
        <v>34</v>
      </c>
      <c r="C212" s="104" t="s">
        <v>6</v>
      </c>
      <c r="D212" s="104">
        <v>2</v>
      </c>
      <c r="E212" s="105"/>
      <c r="F212" s="106"/>
      <c r="G212" s="105">
        <v>17.899999999999999</v>
      </c>
      <c r="H212" s="106"/>
      <c r="I212" s="105"/>
      <c r="J212" s="107">
        <f t="shared" ref="J212:J215" si="24">G212*D212</f>
        <v>35.799999999999997</v>
      </c>
      <c r="K212" s="70" t="s">
        <v>420</v>
      </c>
      <c r="L212" s="70" t="s">
        <v>340</v>
      </c>
      <c r="M212" s="3"/>
    </row>
    <row r="213" spans="1:13" s="10" customFormat="1" ht="30" hidden="1" customHeight="1" outlineLevel="2" x14ac:dyDescent="0.3">
      <c r="A213" s="62" t="s">
        <v>454</v>
      </c>
      <c r="B213" s="103" t="s">
        <v>32</v>
      </c>
      <c r="C213" s="104" t="s">
        <v>6</v>
      </c>
      <c r="D213" s="104">
        <f>4+2</f>
        <v>6</v>
      </c>
      <c r="E213" s="105"/>
      <c r="F213" s="106"/>
      <c r="G213" s="105">
        <v>13.81</v>
      </c>
      <c r="H213" s="106"/>
      <c r="I213" s="105"/>
      <c r="J213" s="107">
        <f t="shared" si="24"/>
        <v>82.86</v>
      </c>
      <c r="K213" s="70" t="s">
        <v>421</v>
      </c>
      <c r="L213" s="70" t="s">
        <v>340</v>
      </c>
      <c r="M213" s="3"/>
    </row>
    <row r="214" spans="1:13" s="10" customFormat="1" hidden="1" outlineLevel="2" x14ac:dyDescent="0.3">
      <c r="A214" s="62" t="s">
        <v>455</v>
      </c>
      <c r="B214" s="103" t="s">
        <v>30</v>
      </c>
      <c r="C214" s="104" t="s">
        <v>6</v>
      </c>
      <c r="D214" s="104">
        <v>2</v>
      </c>
      <c r="E214" s="105"/>
      <c r="F214" s="106"/>
      <c r="G214" s="105">
        <v>274.73</v>
      </c>
      <c r="H214" s="106"/>
      <c r="I214" s="105"/>
      <c r="J214" s="107">
        <f t="shared" si="24"/>
        <v>549.46</v>
      </c>
      <c r="K214" s="70" t="s">
        <v>422</v>
      </c>
      <c r="L214" s="67" t="s">
        <v>338</v>
      </c>
      <c r="M214" s="3"/>
    </row>
    <row r="215" spans="1:13" hidden="1" outlineLevel="2" x14ac:dyDescent="0.3">
      <c r="A215" s="62" t="s">
        <v>456</v>
      </c>
      <c r="B215" s="103" t="s">
        <v>31</v>
      </c>
      <c r="C215" s="104" t="s">
        <v>6</v>
      </c>
      <c r="D215" s="104">
        <v>2</v>
      </c>
      <c r="E215" s="105"/>
      <c r="F215" s="106"/>
      <c r="G215" s="105">
        <v>202.69</v>
      </c>
      <c r="H215" s="106"/>
      <c r="I215" s="105"/>
      <c r="J215" s="107">
        <f t="shared" si="24"/>
        <v>405.38</v>
      </c>
      <c r="K215" s="70" t="s">
        <v>423</v>
      </c>
      <c r="L215" s="67" t="s">
        <v>338</v>
      </c>
      <c r="M215" s="3"/>
    </row>
    <row r="216" spans="1:13" s="17" customFormat="1" ht="15" collapsed="1" x14ac:dyDescent="0.3">
      <c r="A216" s="71">
        <v>16</v>
      </c>
      <c r="B216" s="72" t="s">
        <v>35</v>
      </c>
      <c r="C216" s="73"/>
      <c r="D216" s="71"/>
      <c r="E216" s="74"/>
      <c r="F216" s="74"/>
      <c r="G216" s="74"/>
      <c r="H216" s="74"/>
      <c r="I216" s="74"/>
      <c r="J216" s="74">
        <f>J217+J219</f>
        <v>148200</v>
      </c>
      <c r="K216" s="34"/>
      <c r="L216" s="34"/>
      <c r="M216" s="4"/>
    </row>
    <row r="217" spans="1:13" hidden="1" outlineLevel="1" x14ac:dyDescent="0.3">
      <c r="A217" s="91" t="s">
        <v>151</v>
      </c>
      <c r="B217" s="92" t="s">
        <v>289</v>
      </c>
      <c r="C217" s="108"/>
      <c r="D217" s="109"/>
      <c r="E217" s="110"/>
      <c r="F217" s="110"/>
      <c r="G217" s="110"/>
      <c r="H217" s="110"/>
      <c r="I217" s="90"/>
      <c r="J217" s="94">
        <f>J218</f>
        <v>2400</v>
      </c>
      <c r="K217" s="111"/>
      <c r="L217" s="111"/>
      <c r="M217" s="3"/>
    </row>
    <row r="218" spans="1:13" s="17" customFormat="1" ht="15" hidden="1" outlineLevel="2" x14ac:dyDescent="0.3">
      <c r="A218" s="112" t="s">
        <v>152</v>
      </c>
      <c r="B218" s="113" t="s">
        <v>293</v>
      </c>
      <c r="C218" s="114" t="s">
        <v>6</v>
      </c>
      <c r="D218" s="115">
        <v>6</v>
      </c>
      <c r="E218" s="65"/>
      <c r="F218" s="65"/>
      <c r="G218" s="65">
        <v>400</v>
      </c>
      <c r="H218" s="65"/>
      <c r="I218" s="66"/>
      <c r="J218" s="66">
        <f>G218*D218</f>
        <v>2400</v>
      </c>
      <c r="K218" s="67"/>
      <c r="L218" s="67"/>
      <c r="M218" s="4"/>
    </row>
    <row r="219" spans="1:13" s="3" customFormat="1" hidden="1" outlineLevel="1" x14ac:dyDescent="0.3">
      <c r="A219" s="91" t="s">
        <v>153</v>
      </c>
      <c r="B219" s="92" t="s">
        <v>290</v>
      </c>
      <c r="C219" s="108"/>
      <c r="D219" s="116"/>
      <c r="E219" s="110"/>
      <c r="F219" s="110"/>
      <c r="G219" s="110"/>
      <c r="H219" s="110"/>
      <c r="I219" s="90"/>
      <c r="J219" s="94">
        <f>SUM(J220:J221)</f>
        <v>145800</v>
      </c>
      <c r="K219" s="111"/>
      <c r="L219" s="111"/>
    </row>
    <row r="220" spans="1:13" s="3" customFormat="1" hidden="1" outlineLevel="2" x14ac:dyDescent="0.3">
      <c r="A220" s="112" t="s">
        <v>154</v>
      </c>
      <c r="B220" s="63" t="s">
        <v>291</v>
      </c>
      <c r="C220" s="117" t="s">
        <v>220</v>
      </c>
      <c r="D220" s="115">
        <v>6</v>
      </c>
      <c r="E220" s="65">
        <v>11550</v>
      </c>
      <c r="F220" s="65">
        <v>4000</v>
      </c>
      <c r="G220" s="65">
        <f>F220+E220</f>
        <v>15550</v>
      </c>
      <c r="H220" s="65"/>
      <c r="I220" s="66"/>
      <c r="J220" s="66">
        <f>G220*D220</f>
        <v>93300</v>
      </c>
      <c r="K220" s="67"/>
      <c r="L220" s="67"/>
    </row>
    <row r="221" spans="1:13" s="13" customFormat="1" hidden="1" outlineLevel="2" x14ac:dyDescent="0.3">
      <c r="A221" s="112" t="s">
        <v>155</v>
      </c>
      <c r="B221" s="63" t="s">
        <v>292</v>
      </c>
      <c r="C221" s="117" t="s">
        <v>220</v>
      </c>
      <c r="D221" s="115">
        <v>3</v>
      </c>
      <c r="E221" s="65">
        <v>13500</v>
      </c>
      <c r="F221" s="65">
        <v>4000</v>
      </c>
      <c r="G221" s="65">
        <f>E221+F221</f>
        <v>17500</v>
      </c>
      <c r="H221" s="65"/>
      <c r="I221" s="66"/>
      <c r="J221" s="66">
        <f>G221*D221</f>
        <v>52500</v>
      </c>
      <c r="K221" s="67"/>
      <c r="L221" s="67"/>
    </row>
    <row r="222" spans="1:13" s="3" customFormat="1" collapsed="1" x14ac:dyDescent="0.3">
      <c r="A222" s="71">
        <v>17</v>
      </c>
      <c r="B222" s="72" t="s">
        <v>121</v>
      </c>
      <c r="C222" s="73"/>
      <c r="D222" s="71"/>
      <c r="E222" s="74"/>
      <c r="F222" s="74"/>
      <c r="G222" s="74"/>
      <c r="H222" s="74"/>
      <c r="I222" s="74"/>
      <c r="J222" s="74">
        <f>SUM(J223:J225)</f>
        <v>18139.260000000002</v>
      </c>
      <c r="K222" s="34"/>
      <c r="L222" s="34"/>
    </row>
    <row r="223" spans="1:13" s="3" customFormat="1" ht="43.2" hidden="1" outlineLevel="2" x14ac:dyDescent="0.3">
      <c r="A223" s="62" t="s">
        <v>156</v>
      </c>
      <c r="B223" s="63" t="s">
        <v>493</v>
      </c>
      <c r="C223" s="117" t="s">
        <v>5</v>
      </c>
      <c r="D223" s="64">
        <v>204.5</v>
      </c>
      <c r="E223" s="65"/>
      <c r="F223" s="65"/>
      <c r="G223" s="65">
        <v>78.42</v>
      </c>
      <c r="H223" s="65"/>
      <c r="I223" s="66"/>
      <c r="J223" s="66">
        <f>G223*D223</f>
        <v>16036.890000000001</v>
      </c>
      <c r="K223" s="67" t="s">
        <v>331</v>
      </c>
      <c r="L223" s="67" t="s">
        <v>338</v>
      </c>
    </row>
    <row r="224" spans="1:13" s="3" customFormat="1" ht="43.2" hidden="1" outlineLevel="2" x14ac:dyDescent="0.3">
      <c r="A224" s="62" t="s">
        <v>132</v>
      </c>
      <c r="B224" s="63" t="s">
        <v>494</v>
      </c>
      <c r="C224" s="117" t="s">
        <v>5</v>
      </c>
      <c r="D224" s="64">
        <v>12.38</v>
      </c>
      <c r="E224" s="65"/>
      <c r="F224" s="65"/>
      <c r="G224" s="65">
        <v>69</v>
      </c>
      <c r="H224" s="65"/>
      <c r="I224" s="66"/>
      <c r="J224" s="66">
        <f>G224*D224</f>
        <v>854.22</v>
      </c>
      <c r="K224" s="67"/>
      <c r="L224" s="67"/>
    </row>
    <row r="225" spans="1:13" s="13" customFormat="1" ht="43.2" hidden="1" outlineLevel="2" x14ac:dyDescent="0.3">
      <c r="A225" s="62" t="s">
        <v>133</v>
      </c>
      <c r="B225" s="63" t="s">
        <v>495</v>
      </c>
      <c r="C225" s="117" t="s">
        <v>10</v>
      </c>
      <c r="D225" s="64">
        <v>39.25</v>
      </c>
      <c r="E225" s="65"/>
      <c r="F225" s="65"/>
      <c r="G225" s="65">
        <v>31.8</v>
      </c>
      <c r="H225" s="65"/>
      <c r="I225" s="66"/>
      <c r="J225" s="66">
        <f>G225*D225</f>
        <v>1248.1500000000001</v>
      </c>
      <c r="K225" s="67"/>
      <c r="L225" s="67"/>
    </row>
    <row r="226" spans="1:13" s="3" customFormat="1" collapsed="1" x14ac:dyDescent="0.3">
      <c r="A226" s="71">
        <v>18</v>
      </c>
      <c r="B226" s="72" t="s">
        <v>253</v>
      </c>
      <c r="C226" s="73"/>
      <c r="D226" s="71"/>
      <c r="E226" s="74"/>
      <c r="F226" s="74"/>
      <c r="G226" s="74"/>
      <c r="H226" s="74"/>
      <c r="I226" s="74"/>
      <c r="J226" s="74">
        <f>SUM(J227:J230)</f>
        <v>205604.06</v>
      </c>
      <c r="K226" s="36"/>
      <c r="L226" s="36"/>
    </row>
    <row r="227" spans="1:13" s="3" customFormat="1" ht="28.8" hidden="1" outlineLevel="2" x14ac:dyDescent="0.3">
      <c r="A227" s="62" t="s">
        <v>157</v>
      </c>
      <c r="B227" s="63" t="s">
        <v>281</v>
      </c>
      <c r="C227" s="117" t="s">
        <v>5</v>
      </c>
      <c r="D227" s="64">
        <f>231+50</f>
        <v>281</v>
      </c>
      <c r="E227" s="65"/>
      <c r="F227" s="65"/>
      <c r="G227" s="65">
        <v>300</v>
      </c>
      <c r="H227" s="65"/>
      <c r="I227" s="66"/>
      <c r="J227" s="66">
        <f>G227*D227</f>
        <v>84300</v>
      </c>
      <c r="K227" s="37"/>
      <c r="L227" s="37"/>
    </row>
    <row r="228" spans="1:13" s="3" customFormat="1" hidden="1" outlineLevel="2" x14ac:dyDescent="0.3">
      <c r="A228" s="62" t="s">
        <v>252</v>
      </c>
      <c r="B228" s="63" t="s">
        <v>282</v>
      </c>
      <c r="C228" s="117" t="s">
        <v>5</v>
      </c>
      <c r="D228" s="64">
        <f>231+50</f>
        <v>281</v>
      </c>
      <c r="E228" s="65"/>
      <c r="F228" s="65"/>
      <c r="G228" s="65">
        <v>400</v>
      </c>
      <c r="H228" s="65"/>
      <c r="I228" s="66"/>
      <c r="J228" s="66">
        <f>G228*D228</f>
        <v>112400</v>
      </c>
      <c r="K228" s="37"/>
      <c r="L228" s="37"/>
    </row>
    <row r="229" spans="1:13" s="3" customFormat="1" hidden="1" outlineLevel="2" x14ac:dyDescent="0.3">
      <c r="A229" s="62" t="s">
        <v>254</v>
      </c>
      <c r="B229" s="63" t="s">
        <v>280</v>
      </c>
      <c r="C229" s="117" t="s">
        <v>5</v>
      </c>
      <c r="D229" s="64">
        <v>30</v>
      </c>
      <c r="E229" s="65"/>
      <c r="F229" s="65"/>
      <c r="G229" s="65">
        <v>52.13</v>
      </c>
      <c r="H229" s="65"/>
      <c r="I229" s="66"/>
      <c r="J229" s="66">
        <f>G229*D229</f>
        <v>1563.9</v>
      </c>
      <c r="K229" s="37"/>
      <c r="L229" s="37"/>
    </row>
    <row r="230" spans="1:13" s="3" customFormat="1" hidden="1" outlineLevel="2" x14ac:dyDescent="0.3">
      <c r="A230" s="62" t="s">
        <v>279</v>
      </c>
      <c r="B230" s="63" t="s">
        <v>278</v>
      </c>
      <c r="C230" s="117" t="s">
        <v>75</v>
      </c>
      <c r="D230" s="64">
        <v>4</v>
      </c>
      <c r="E230" s="65"/>
      <c r="F230" s="65"/>
      <c r="G230" s="65">
        <v>1835.04</v>
      </c>
      <c r="H230" s="65"/>
      <c r="I230" s="66"/>
      <c r="J230" s="66">
        <f>G230*D230</f>
        <v>7340.16</v>
      </c>
      <c r="K230" s="37"/>
      <c r="L230" s="35"/>
    </row>
    <row r="231" spans="1:13" s="3" customFormat="1" collapsed="1" x14ac:dyDescent="0.3">
      <c r="A231" s="71">
        <v>19</v>
      </c>
      <c r="B231" s="72" t="s">
        <v>36</v>
      </c>
      <c r="C231" s="73"/>
      <c r="D231" s="71"/>
      <c r="E231" s="74"/>
      <c r="F231" s="74"/>
      <c r="G231" s="74"/>
      <c r="H231" s="74"/>
      <c r="I231" s="74"/>
      <c r="J231" s="74">
        <f>J232</f>
        <v>4204.8</v>
      </c>
      <c r="K231" s="34"/>
      <c r="L231" s="34"/>
    </row>
    <row r="232" spans="1:13" s="3" customFormat="1" hidden="1" outlineLevel="2" x14ac:dyDescent="0.3">
      <c r="A232" s="62" t="s">
        <v>538</v>
      </c>
      <c r="B232" s="63" t="s">
        <v>135</v>
      </c>
      <c r="C232" s="64" t="s">
        <v>5</v>
      </c>
      <c r="D232" s="64">
        <v>320</v>
      </c>
      <c r="E232" s="89"/>
      <c r="F232" s="89"/>
      <c r="G232" s="65">
        <v>13.14</v>
      </c>
      <c r="H232" s="65"/>
      <c r="I232" s="66"/>
      <c r="J232" s="66">
        <f>G232*D232</f>
        <v>4204.8</v>
      </c>
      <c r="K232" s="67" t="s">
        <v>332</v>
      </c>
      <c r="L232" s="67" t="s">
        <v>338</v>
      </c>
    </row>
    <row r="233" spans="1:13" s="13" customFormat="1" collapsed="1" x14ac:dyDescent="0.3">
      <c r="A233" s="71">
        <v>20</v>
      </c>
      <c r="B233" s="72" t="s">
        <v>108</v>
      </c>
      <c r="C233" s="73"/>
      <c r="D233" s="71"/>
      <c r="E233" s="74"/>
      <c r="F233" s="74"/>
      <c r="G233" s="74"/>
      <c r="H233" s="74"/>
      <c r="I233" s="74"/>
      <c r="J233" s="74"/>
      <c r="K233" s="34"/>
      <c r="L233" s="34"/>
    </row>
    <row r="234" spans="1:13" s="13" customFormat="1" ht="28.8" hidden="1" outlineLevel="2" x14ac:dyDescent="0.3">
      <c r="A234" s="62" t="s">
        <v>207</v>
      </c>
      <c r="B234" s="63" t="s">
        <v>333</v>
      </c>
      <c r="C234" s="64" t="s">
        <v>5</v>
      </c>
      <c r="D234" s="64">
        <v>0</v>
      </c>
      <c r="E234" s="118"/>
      <c r="F234" s="65"/>
      <c r="G234" s="65">
        <v>49.5</v>
      </c>
      <c r="H234" s="65"/>
      <c r="I234" s="66"/>
      <c r="J234" s="66">
        <f>D234*G234</f>
        <v>0</v>
      </c>
      <c r="K234" s="67" t="s">
        <v>335</v>
      </c>
      <c r="L234" s="67" t="s">
        <v>338</v>
      </c>
      <c r="M234" s="61"/>
    </row>
    <row r="235" spans="1:13" s="20" customFormat="1" hidden="1" outlineLevel="2" x14ac:dyDescent="0.3">
      <c r="A235" s="62" t="s">
        <v>288</v>
      </c>
      <c r="B235" s="63" t="s">
        <v>334</v>
      </c>
      <c r="C235" s="64" t="s">
        <v>5</v>
      </c>
      <c r="D235" s="64">
        <v>0</v>
      </c>
      <c r="E235" s="65"/>
      <c r="F235" s="65"/>
      <c r="G235" s="65">
        <v>285.14999999999998</v>
      </c>
      <c r="H235" s="65"/>
      <c r="I235" s="66"/>
      <c r="J235" s="66">
        <f>D235*G235</f>
        <v>0</v>
      </c>
      <c r="K235" s="119" t="s">
        <v>336</v>
      </c>
      <c r="L235" s="67" t="s">
        <v>338</v>
      </c>
    </row>
    <row r="236" spans="1:13" s="3" customFormat="1" collapsed="1" x14ac:dyDescent="0.3">
      <c r="A236" s="71">
        <v>21</v>
      </c>
      <c r="B236" s="72" t="s">
        <v>119</v>
      </c>
      <c r="C236" s="73"/>
      <c r="D236" s="71"/>
      <c r="E236" s="74"/>
      <c r="F236" s="74"/>
      <c r="G236" s="74"/>
      <c r="H236" s="74"/>
      <c r="I236" s="74"/>
      <c r="J236" s="74"/>
      <c r="K236" s="34"/>
      <c r="L236" s="34"/>
    </row>
    <row r="237" spans="1:13" s="3" customFormat="1" hidden="1" outlineLevel="2" x14ac:dyDescent="0.3">
      <c r="A237" s="21"/>
      <c r="B237" s="25"/>
      <c r="C237" s="22"/>
      <c r="D237" s="22"/>
      <c r="E237" s="23"/>
      <c r="F237" s="23"/>
      <c r="G237" s="23"/>
      <c r="H237" s="23"/>
      <c r="I237" s="24"/>
      <c r="J237" s="24"/>
      <c r="K237" s="37"/>
      <c r="L237" s="37"/>
    </row>
    <row r="238" spans="1:13" s="3" customFormat="1" hidden="1" outlineLevel="2" x14ac:dyDescent="0.3">
      <c r="A238" s="21"/>
      <c r="B238" s="25"/>
      <c r="C238" s="22"/>
      <c r="D238" s="22"/>
      <c r="E238" s="23"/>
      <c r="F238" s="23"/>
      <c r="G238" s="23"/>
      <c r="H238" s="23"/>
      <c r="I238" s="24"/>
      <c r="J238" s="24"/>
      <c r="K238" s="37"/>
      <c r="L238" s="37"/>
    </row>
    <row r="239" spans="1:13" s="3" customFormat="1" hidden="1" outlineLevel="2" x14ac:dyDescent="0.3">
      <c r="A239" s="21"/>
      <c r="B239" s="25"/>
      <c r="C239" s="22"/>
      <c r="D239" s="22"/>
      <c r="E239" s="23"/>
      <c r="F239" s="23"/>
      <c r="G239" s="23"/>
      <c r="H239" s="23"/>
      <c r="I239" s="24"/>
      <c r="J239" s="24"/>
      <c r="K239" s="37"/>
      <c r="L239" s="37"/>
    </row>
    <row r="240" spans="1:13" s="3" customFormat="1" hidden="1" outlineLevel="2" x14ac:dyDescent="0.3">
      <c r="A240" s="21"/>
      <c r="B240" s="25"/>
      <c r="C240" s="22"/>
      <c r="D240" s="22"/>
      <c r="E240" s="23"/>
      <c r="F240" s="23"/>
      <c r="G240" s="23"/>
      <c r="H240" s="23"/>
      <c r="I240" s="24"/>
      <c r="J240" s="24"/>
      <c r="K240" s="37"/>
      <c r="L240" s="37"/>
    </row>
    <row r="241" spans="1:12" s="3" customFormat="1" collapsed="1" x14ac:dyDescent="0.3">
      <c r="A241" s="26"/>
      <c r="B241" s="26"/>
      <c r="C241" s="27"/>
      <c r="D241" s="28"/>
      <c r="E241" s="28"/>
      <c r="F241" s="28"/>
      <c r="G241" s="28"/>
      <c r="H241" s="28"/>
      <c r="I241" s="154" t="s">
        <v>118</v>
      </c>
      <c r="J241" s="155">
        <f>J236+J233+J231+J226+J222+J216+J192+J186+J152+J137+J105+J96+J82+J75+J71+J65+J56+J49+J45+J32+J14</f>
        <v>1647606.3921979999</v>
      </c>
      <c r="K241" s="37"/>
      <c r="L241" s="37"/>
    </row>
    <row r="242" spans="1:12" s="3" customFormat="1" x14ac:dyDescent="0.3">
      <c r="A242" s="38"/>
      <c r="B242" s="38"/>
      <c r="C242" s="39"/>
      <c r="D242" s="40"/>
      <c r="E242" s="40"/>
      <c r="F242" s="40"/>
      <c r="G242" s="40"/>
      <c r="H242" s="40"/>
      <c r="I242" s="41"/>
      <c r="J242" s="41"/>
      <c r="K242" s="42"/>
      <c r="L242" s="42"/>
    </row>
    <row r="243" spans="1:12" s="3" customFormat="1" x14ac:dyDescent="0.3">
      <c r="A243" s="43"/>
      <c r="B243" s="43"/>
      <c r="C243" s="44"/>
      <c r="D243" s="45"/>
      <c r="E243" s="45"/>
      <c r="F243" s="45"/>
      <c r="G243" s="45"/>
      <c r="H243" s="45"/>
      <c r="I243" s="44"/>
      <c r="J243" s="44"/>
      <c r="K243" s="46"/>
      <c r="L243" s="46"/>
    </row>
    <row r="244" spans="1:12" s="3" customFormat="1" x14ac:dyDescent="0.3">
      <c r="A244" s="43"/>
      <c r="B244" s="45"/>
      <c r="C244" s="44"/>
      <c r="D244" s="45"/>
      <c r="E244" s="45"/>
      <c r="F244" s="45"/>
      <c r="G244" s="45"/>
      <c r="H244" s="45"/>
      <c r="I244" s="44"/>
      <c r="J244" s="44"/>
      <c r="K244" s="47"/>
      <c r="L244" s="47"/>
    </row>
    <row r="245" spans="1:12" s="3" customFormat="1" x14ac:dyDescent="0.3">
      <c r="A245" s="4"/>
      <c r="B245" s="1"/>
      <c r="C245" s="2"/>
      <c r="I245" s="2"/>
      <c r="J245" s="2"/>
      <c r="K245" s="31"/>
      <c r="L245" s="31"/>
    </row>
    <row r="246" spans="1:12" s="3" customFormat="1" x14ac:dyDescent="0.3">
      <c r="A246" s="4"/>
      <c r="B246" s="1"/>
      <c r="C246" s="2"/>
      <c r="I246" s="2"/>
      <c r="J246" s="2"/>
      <c r="K246" s="31"/>
      <c r="L246" s="31"/>
    </row>
    <row r="247" spans="1:12" s="3" customFormat="1" x14ac:dyDescent="0.3">
      <c r="B247" s="4"/>
      <c r="C247" s="2"/>
      <c r="I247" s="2"/>
      <c r="J247" s="2"/>
      <c r="K247" s="31"/>
      <c r="L247" s="31"/>
    </row>
    <row r="248" spans="1:12" s="3" customFormat="1" x14ac:dyDescent="0.3">
      <c r="C248" s="2"/>
      <c r="I248" s="2"/>
      <c r="J248" s="2"/>
      <c r="K248" s="31"/>
      <c r="L248" s="31"/>
    </row>
    <row r="249" spans="1:12" s="3" customFormat="1" x14ac:dyDescent="0.3">
      <c r="C249" s="2"/>
      <c r="I249" s="2"/>
      <c r="J249" s="2"/>
      <c r="K249" s="31"/>
      <c r="L249" s="31"/>
    </row>
    <row r="250" spans="1:12" s="3" customFormat="1" x14ac:dyDescent="0.3">
      <c r="C250" s="2"/>
      <c r="I250" s="2"/>
      <c r="J250" s="2"/>
      <c r="K250" s="31"/>
      <c r="L250" s="31"/>
    </row>
    <row r="251" spans="1:12" s="3" customFormat="1" x14ac:dyDescent="0.3">
      <c r="C251" s="2"/>
      <c r="I251" s="2"/>
      <c r="J251" s="2"/>
      <c r="K251" s="31"/>
      <c r="L251" s="31"/>
    </row>
    <row r="252" spans="1:12" s="3" customFormat="1" x14ac:dyDescent="0.3">
      <c r="C252" s="2"/>
      <c r="I252" s="2"/>
      <c r="J252" s="2"/>
      <c r="K252" s="31"/>
      <c r="L252" s="31"/>
    </row>
    <row r="253" spans="1:12" s="3" customFormat="1" x14ac:dyDescent="0.3">
      <c r="C253" s="2"/>
      <c r="I253" s="2"/>
      <c r="J253" s="2"/>
      <c r="K253" s="31"/>
      <c r="L253" s="31"/>
    </row>
    <row r="254" spans="1:12" s="3" customFormat="1" x14ac:dyDescent="0.3">
      <c r="C254" s="2"/>
      <c r="I254" s="2"/>
      <c r="J254" s="2"/>
      <c r="K254" s="31"/>
      <c r="L254" s="31"/>
    </row>
    <row r="255" spans="1:12" s="3" customFormat="1" x14ac:dyDescent="0.3">
      <c r="C255" s="2"/>
      <c r="I255" s="2"/>
      <c r="J255" s="2"/>
      <c r="K255" s="31"/>
      <c r="L255" s="31"/>
    </row>
    <row r="256" spans="1:12" s="3" customFormat="1" x14ac:dyDescent="0.3">
      <c r="C256" s="2"/>
      <c r="I256" s="2"/>
      <c r="J256" s="2"/>
      <c r="K256" s="31"/>
      <c r="L256" s="31"/>
    </row>
    <row r="257" spans="3:12" s="3" customFormat="1" x14ac:dyDescent="0.3">
      <c r="C257" s="2"/>
      <c r="I257" s="2"/>
      <c r="J257" s="2"/>
      <c r="K257" s="31"/>
      <c r="L257" s="31"/>
    </row>
    <row r="258" spans="3:12" s="3" customFormat="1" x14ac:dyDescent="0.3">
      <c r="C258" s="2"/>
      <c r="I258" s="2"/>
      <c r="J258" s="2"/>
      <c r="K258" s="31"/>
      <c r="L258" s="31"/>
    </row>
    <row r="259" spans="3:12" s="3" customFormat="1" x14ac:dyDescent="0.3">
      <c r="C259" s="2"/>
      <c r="I259" s="2"/>
      <c r="J259" s="2"/>
      <c r="K259" s="31"/>
      <c r="L259" s="31"/>
    </row>
    <row r="260" spans="3:12" s="3" customFormat="1" x14ac:dyDescent="0.3">
      <c r="C260" s="2"/>
      <c r="I260" s="2"/>
      <c r="J260" s="2"/>
      <c r="K260" s="31"/>
      <c r="L260" s="31"/>
    </row>
    <row r="261" spans="3:12" s="3" customFormat="1" x14ac:dyDescent="0.3">
      <c r="C261" s="2"/>
      <c r="I261" s="2"/>
      <c r="J261" s="2"/>
      <c r="K261" s="31"/>
      <c r="L261" s="31"/>
    </row>
    <row r="262" spans="3:12" s="3" customFormat="1" x14ac:dyDescent="0.3">
      <c r="C262" s="2"/>
      <c r="I262" s="2"/>
      <c r="J262" s="2"/>
      <c r="K262" s="31"/>
      <c r="L262" s="31"/>
    </row>
    <row r="263" spans="3:12" s="3" customFormat="1" x14ac:dyDescent="0.3">
      <c r="C263" s="2"/>
      <c r="I263" s="2"/>
      <c r="J263" s="2"/>
      <c r="K263" s="31"/>
      <c r="L263" s="31"/>
    </row>
    <row r="264" spans="3:12" s="3" customFormat="1" x14ac:dyDescent="0.3">
      <c r="C264" s="2"/>
      <c r="I264" s="2"/>
      <c r="J264" s="2"/>
      <c r="K264" s="31"/>
      <c r="L264" s="31"/>
    </row>
    <row r="265" spans="3:12" s="3" customFormat="1" x14ac:dyDescent="0.3">
      <c r="C265" s="2"/>
      <c r="I265" s="2"/>
      <c r="J265" s="2"/>
      <c r="K265" s="31"/>
      <c r="L265" s="31"/>
    </row>
    <row r="266" spans="3:12" s="3" customFormat="1" x14ac:dyDescent="0.3">
      <c r="C266" s="2"/>
      <c r="I266" s="2"/>
      <c r="J266" s="2"/>
      <c r="K266" s="31"/>
      <c r="L266" s="31"/>
    </row>
    <row r="267" spans="3:12" s="3" customFormat="1" x14ac:dyDescent="0.3">
      <c r="C267" s="2"/>
      <c r="I267" s="2"/>
      <c r="J267" s="2"/>
      <c r="K267" s="31"/>
      <c r="L267" s="31"/>
    </row>
    <row r="268" spans="3:12" s="3" customFormat="1" x14ac:dyDescent="0.3">
      <c r="C268" s="2"/>
      <c r="I268" s="2"/>
      <c r="J268" s="2"/>
      <c r="K268" s="31"/>
      <c r="L268" s="31"/>
    </row>
    <row r="269" spans="3:12" s="3" customFormat="1" x14ac:dyDescent="0.3">
      <c r="C269" s="2"/>
      <c r="I269" s="2"/>
      <c r="J269" s="2"/>
      <c r="K269" s="31"/>
      <c r="L269" s="31"/>
    </row>
    <row r="270" spans="3:12" s="3" customFormat="1" x14ac:dyDescent="0.3">
      <c r="C270" s="2"/>
      <c r="I270" s="2"/>
      <c r="J270" s="2"/>
      <c r="K270" s="31"/>
      <c r="L270" s="31"/>
    </row>
    <row r="271" spans="3:12" s="3" customFormat="1" x14ac:dyDescent="0.3">
      <c r="C271" s="2"/>
      <c r="I271" s="2"/>
      <c r="J271" s="2"/>
      <c r="K271" s="31"/>
      <c r="L271" s="31"/>
    </row>
    <row r="272" spans="3:12" s="3" customFormat="1" x14ac:dyDescent="0.3">
      <c r="C272" s="2"/>
      <c r="I272" s="2"/>
      <c r="J272" s="2"/>
      <c r="K272" s="31"/>
      <c r="L272" s="31"/>
    </row>
    <row r="273" spans="1:12" s="3" customFormat="1" x14ac:dyDescent="0.3">
      <c r="C273" s="2"/>
      <c r="I273" s="2"/>
      <c r="J273" s="2"/>
      <c r="K273" s="31"/>
      <c r="L273" s="31"/>
    </row>
    <row r="274" spans="1:12" s="3" customFormat="1" x14ac:dyDescent="0.3">
      <c r="C274" s="2"/>
      <c r="I274" s="2"/>
      <c r="J274" s="2"/>
      <c r="K274" s="31"/>
      <c r="L274" s="31"/>
    </row>
    <row r="275" spans="1:12" s="3" customFormat="1" x14ac:dyDescent="0.3">
      <c r="C275" s="2"/>
      <c r="I275" s="2"/>
      <c r="J275" s="2"/>
      <c r="K275" s="31"/>
      <c r="L275" s="31"/>
    </row>
    <row r="276" spans="1:12" s="3" customFormat="1" x14ac:dyDescent="0.3">
      <c r="C276" s="2"/>
      <c r="I276" s="2"/>
      <c r="J276" s="2"/>
      <c r="K276" s="31"/>
      <c r="L276" s="31"/>
    </row>
    <row r="277" spans="1:12" s="3" customFormat="1" x14ac:dyDescent="0.3">
      <c r="C277" s="2"/>
      <c r="I277" s="2"/>
      <c r="J277" s="2"/>
      <c r="K277" s="31"/>
      <c r="L277" s="31"/>
    </row>
    <row r="278" spans="1:12" s="3" customFormat="1" x14ac:dyDescent="0.3">
      <c r="C278" s="2"/>
      <c r="I278" s="2"/>
      <c r="J278" s="2"/>
      <c r="K278" s="31"/>
      <c r="L278" s="31"/>
    </row>
    <row r="279" spans="1:12" x14ac:dyDescent="0.3">
      <c r="A279" s="3"/>
      <c r="B279" s="3"/>
      <c r="C279" s="2"/>
      <c r="D279" s="3"/>
      <c r="E279" s="3"/>
      <c r="F279" s="3"/>
      <c r="G279" s="3"/>
      <c r="H279" s="3"/>
      <c r="I279" s="2"/>
      <c r="J279" s="2"/>
      <c r="K279" s="31"/>
      <c r="L279" s="31"/>
    </row>
    <row r="280" spans="1:12" x14ac:dyDescent="0.3">
      <c r="A280" s="3"/>
      <c r="B280" s="3"/>
      <c r="C280" s="2"/>
      <c r="D280" s="3"/>
      <c r="E280" s="3"/>
      <c r="F280" s="3"/>
      <c r="G280" s="3"/>
      <c r="H280" s="3"/>
      <c r="I280" s="2"/>
      <c r="J280" s="2"/>
      <c r="K280" s="31"/>
      <c r="L280" s="31"/>
    </row>
    <row r="281" spans="1:12" x14ac:dyDescent="0.3">
      <c r="A281" s="3"/>
      <c r="B281" s="3"/>
      <c r="C281" s="2"/>
      <c r="D281" s="3"/>
      <c r="E281" s="3"/>
      <c r="F281" s="3"/>
      <c r="G281" s="3"/>
      <c r="H281" s="3"/>
      <c r="I281" s="2"/>
      <c r="J281" s="2"/>
      <c r="K281" s="31"/>
      <c r="L281" s="31"/>
    </row>
    <row r="282" spans="1:12" x14ac:dyDescent="0.3">
      <c r="A282" s="3"/>
      <c r="B282" s="3"/>
      <c r="C282" s="2"/>
      <c r="D282" s="3"/>
      <c r="E282" s="3"/>
      <c r="F282" s="3"/>
      <c r="G282" s="3"/>
      <c r="H282" s="3"/>
      <c r="I282" s="2"/>
      <c r="J282" s="2"/>
      <c r="K282" s="31"/>
      <c r="L282" s="31"/>
    </row>
    <row r="283" spans="1:12" x14ac:dyDescent="0.3">
      <c r="A283" s="3"/>
      <c r="B283" s="3"/>
      <c r="C283" s="2"/>
      <c r="D283" s="3"/>
      <c r="E283" s="3"/>
      <c r="F283" s="3"/>
      <c r="G283" s="3"/>
      <c r="H283" s="3"/>
      <c r="I283" s="2"/>
      <c r="J283" s="2"/>
      <c r="K283" s="31"/>
      <c r="L283" s="31"/>
    </row>
    <row r="284" spans="1:12" x14ac:dyDescent="0.3">
      <c r="A284" s="3"/>
      <c r="B284" s="3"/>
      <c r="C284" s="2"/>
      <c r="D284" s="3"/>
      <c r="E284" s="3"/>
      <c r="F284" s="3"/>
      <c r="G284" s="3"/>
      <c r="H284" s="3"/>
      <c r="I284" s="2"/>
      <c r="J284" s="2"/>
      <c r="K284" s="31"/>
      <c r="L284" s="31"/>
    </row>
    <row r="285" spans="1:12" x14ac:dyDescent="0.3">
      <c r="A285" s="3"/>
      <c r="B285" s="3"/>
      <c r="C285" s="2"/>
      <c r="D285" s="3"/>
      <c r="E285" s="3"/>
      <c r="F285" s="3"/>
      <c r="G285" s="3"/>
      <c r="H285" s="3"/>
      <c r="I285" s="2"/>
      <c r="J285" s="2"/>
      <c r="K285" s="31"/>
      <c r="L285" s="31"/>
    </row>
    <row r="286" spans="1:12" x14ac:dyDescent="0.3">
      <c r="A286" s="3"/>
      <c r="B286" s="3"/>
      <c r="C286" s="2"/>
      <c r="D286" s="3"/>
      <c r="E286" s="3"/>
      <c r="F286" s="3"/>
      <c r="G286" s="3"/>
      <c r="H286" s="3"/>
      <c r="I286" s="2"/>
      <c r="J286" s="2"/>
      <c r="K286" s="31"/>
      <c r="L286" s="31"/>
    </row>
    <row r="287" spans="1:12" x14ac:dyDescent="0.3">
      <c r="A287" s="3"/>
      <c r="B287" s="3"/>
      <c r="C287" s="2"/>
      <c r="D287" s="3"/>
      <c r="E287" s="3"/>
      <c r="F287" s="3"/>
      <c r="G287" s="3"/>
      <c r="H287" s="3"/>
      <c r="I287" s="2"/>
      <c r="J287" s="2"/>
      <c r="K287" s="31"/>
      <c r="L287" s="31"/>
    </row>
    <row r="288" spans="1:12" x14ac:dyDescent="0.3">
      <c r="A288" s="3"/>
      <c r="B288" s="3"/>
      <c r="C288" s="2"/>
      <c r="D288" s="3"/>
      <c r="E288" s="3"/>
      <c r="F288" s="3"/>
      <c r="G288" s="3"/>
      <c r="H288" s="3"/>
      <c r="I288" s="2"/>
      <c r="J288" s="2"/>
      <c r="K288" s="31"/>
      <c r="L288" s="31"/>
    </row>
    <row r="289" spans="1:12" x14ac:dyDescent="0.3">
      <c r="A289" s="3"/>
      <c r="B289" s="3"/>
      <c r="C289" s="2"/>
      <c r="D289" s="3"/>
      <c r="E289" s="3"/>
      <c r="F289" s="3"/>
      <c r="G289" s="3"/>
      <c r="H289" s="3"/>
      <c r="I289" s="2"/>
      <c r="J289" s="2"/>
      <c r="K289" s="31"/>
      <c r="L289" s="31"/>
    </row>
    <row r="290" spans="1:12" x14ac:dyDescent="0.3">
      <c r="A290" s="3"/>
      <c r="B290" s="3"/>
      <c r="C290" s="2"/>
      <c r="D290" s="3"/>
      <c r="E290" s="3"/>
      <c r="F290" s="3"/>
      <c r="G290" s="3"/>
      <c r="H290" s="3"/>
      <c r="I290" s="2"/>
      <c r="J290" s="2"/>
      <c r="K290" s="31"/>
      <c r="L290" s="31"/>
    </row>
    <row r="291" spans="1:12" x14ac:dyDescent="0.3">
      <c r="A291" s="3"/>
      <c r="B291" s="3"/>
      <c r="C291" s="2"/>
      <c r="D291" s="3"/>
      <c r="E291" s="3"/>
      <c r="F291" s="3"/>
      <c r="G291" s="3"/>
      <c r="H291" s="3"/>
      <c r="I291" s="2"/>
      <c r="J291" s="2"/>
      <c r="K291" s="31"/>
      <c r="L291" s="31"/>
    </row>
    <row r="292" spans="1:12" x14ac:dyDescent="0.3">
      <c r="A292" s="3"/>
      <c r="B292" s="3"/>
      <c r="C292" s="2"/>
      <c r="D292" s="3"/>
      <c r="E292" s="3"/>
      <c r="F292" s="3"/>
      <c r="G292" s="3"/>
      <c r="H292" s="3"/>
      <c r="I292" s="2"/>
      <c r="J292" s="2"/>
      <c r="K292" s="31"/>
      <c r="L292" s="31"/>
    </row>
    <row r="293" spans="1:12" x14ac:dyDescent="0.3">
      <c r="A293" s="3"/>
      <c r="B293" s="3"/>
      <c r="C293" s="2"/>
      <c r="D293" s="3"/>
      <c r="E293" s="3"/>
      <c r="F293" s="3"/>
      <c r="G293" s="3"/>
      <c r="H293" s="3"/>
      <c r="I293" s="2"/>
      <c r="J293" s="2"/>
      <c r="K293" s="31"/>
      <c r="L293" s="31"/>
    </row>
    <row r="294" spans="1:12" x14ac:dyDescent="0.3">
      <c r="A294" s="3"/>
      <c r="B294" s="3"/>
      <c r="C294" s="2"/>
      <c r="D294" s="3"/>
      <c r="E294" s="3"/>
      <c r="F294" s="3"/>
      <c r="G294" s="3"/>
      <c r="H294" s="3"/>
      <c r="I294" s="2"/>
      <c r="J294" s="2"/>
      <c r="K294" s="31"/>
      <c r="L294" s="31"/>
    </row>
    <row r="295" spans="1:12" x14ac:dyDescent="0.3">
      <c r="A295" s="3"/>
      <c r="B295" s="3"/>
      <c r="C295" s="2"/>
      <c r="D295" s="3"/>
      <c r="E295" s="3"/>
      <c r="F295" s="3"/>
      <c r="G295" s="3"/>
      <c r="H295" s="3"/>
      <c r="I295" s="2"/>
      <c r="J295" s="2"/>
      <c r="K295" s="31"/>
      <c r="L295" s="31"/>
    </row>
    <row r="296" spans="1:12" x14ac:dyDescent="0.3">
      <c r="A296" s="3"/>
      <c r="B296" s="3"/>
      <c r="C296" s="2"/>
      <c r="D296" s="3"/>
      <c r="E296" s="3"/>
      <c r="F296" s="3"/>
      <c r="G296" s="3"/>
      <c r="H296" s="3"/>
      <c r="I296" s="2"/>
      <c r="J296" s="2"/>
      <c r="K296" s="31"/>
      <c r="L296" s="31"/>
    </row>
    <row r="297" spans="1:12" x14ac:dyDescent="0.3">
      <c r="A297" s="3"/>
      <c r="B297" s="3"/>
      <c r="C297" s="2"/>
      <c r="D297" s="3"/>
      <c r="E297" s="3"/>
      <c r="F297" s="3"/>
      <c r="G297" s="3"/>
      <c r="H297" s="3"/>
      <c r="I297" s="2"/>
      <c r="J297" s="2"/>
      <c r="K297" s="31"/>
      <c r="L297" s="31"/>
    </row>
    <row r="298" spans="1:12" x14ac:dyDescent="0.3">
      <c r="A298" s="3"/>
      <c r="B298" s="3"/>
      <c r="C298" s="2"/>
      <c r="D298" s="3"/>
      <c r="E298" s="3"/>
      <c r="F298" s="3"/>
      <c r="G298" s="3"/>
      <c r="H298" s="3"/>
      <c r="I298" s="2"/>
      <c r="J298" s="2"/>
      <c r="K298" s="31"/>
      <c r="L298" s="31"/>
    </row>
    <row r="299" spans="1:12" x14ac:dyDescent="0.3">
      <c r="A299" s="3"/>
      <c r="B299" s="3"/>
      <c r="C299" s="2"/>
      <c r="D299" s="3"/>
      <c r="E299" s="3"/>
      <c r="F299" s="3"/>
      <c r="G299" s="3"/>
      <c r="H299" s="3"/>
      <c r="I299" s="2"/>
      <c r="J299" s="2"/>
      <c r="K299" s="31"/>
      <c r="L299" s="31"/>
    </row>
    <row r="300" spans="1:12" x14ac:dyDescent="0.3">
      <c r="A300" s="3"/>
      <c r="B300" s="3"/>
      <c r="C300" s="2"/>
      <c r="D300" s="3"/>
      <c r="E300" s="3"/>
      <c r="F300" s="3"/>
      <c r="G300" s="3"/>
      <c r="H300" s="3"/>
      <c r="I300" s="2"/>
      <c r="J300" s="2"/>
      <c r="K300" s="31"/>
      <c r="L300" s="31"/>
    </row>
    <row r="301" spans="1:12" x14ac:dyDescent="0.3">
      <c r="A301" s="3"/>
      <c r="B301" s="3"/>
      <c r="C301" s="2"/>
      <c r="D301" s="3"/>
      <c r="E301" s="3"/>
      <c r="F301" s="3"/>
      <c r="G301" s="3"/>
      <c r="H301" s="3"/>
      <c r="I301" s="2"/>
      <c r="J301" s="2"/>
      <c r="K301" s="31"/>
      <c r="L301" s="31"/>
    </row>
    <row r="302" spans="1:12" x14ac:dyDescent="0.3">
      <c r="A302" s="3"/>
      <c r="B302" s="3"/>
      <c r="C302" s="2"/>
      <c r="D302" s="3"/>
      <c r="E302" s="3"/>
      <c r="F302" s="3"/>
      <c r="G302" s="3"/>
      <c r="H302" s="3"/>
      <c r="I302" s="2"/>
      <c r="J302" s="2"/>
      <c r="K302" s="31"/>
      <c r="L302" s="31"/>
    </row>
    <row r="303" spans="1:12" x14ac:dyDescent="0.3">
      <c r="A303" s="3"/>
      <c r="B303" s="3"/>
      <c r="C303" s="2"/>
      <c r="D303" s="3"/>
      <c r="E303" s="3"/>
      <c r="F303" s="3"/>
      <c r="G303" s="3"/>
      <c r="H303" s="3"/>
      <c r="I303" s="2"/>
      <c r="J303" s="2"/>
      <c r="K303" s="31"/>
      <c r="L303" s="31"/>
    </row>
    <row r="304" spans="1:12" x14ac:dyDescent="0.3">
      <c r="A304" s="3"/>
      <c r="B304" s="3"/>
      <c r="C304" s="2"/>
      <c r="D304" s="3"/>
      <c r="E304" s="3"/>
      <c r="F304" s="3"/>
      <c r="G304" s="3"/>
      <c r="H304" s="3"/>
      <c r="I304" s="2"/>
      <c r="J304" s="2"/>
      <c r="K304" s="31"/>
      <c r="L304" s="31"/>
    </row>
    <row r="305" spans="1:12" x14ac:dyDescent="0.3">
      <c r="A305" s="3"/>
      <c r="B305" s="3"/>
      <c r="C305" s="2"/>
      <c r="D305" s="3"/>
      <c r="E305" s="3"/>
      <c r="F305" s="3"/>
      <c r="G305" s="3"/>
      <c r="H305" s="3"/>
      <c r="I305" s="2"/>
      <c r="J305" s="2"/>
      <c r="K305" s="31"/>
      <c r="L305" s="31"/>
    </row>
    <row r="306" spans="1:12" x14ac:dyDescent="0.3">
      <c r="A306" s="3"/>
      <c r="B306" s="3"/>
      <c r="C306" s="2"/>
      <c r="D306" s="3"/>
      <c r="E306" s="3"/>
      <c r="F306" s="3"/>
      <c r="G306" s="3"/>
      <c r="H306" s="3"/>
      <c r="I306" s="2"/>
      <c r="J306" s="2"/>
      <c r="K306" s="31"/>
      <c r="L306" s="31"/>
    </row>
    <row r="307" spans="1:12" x14ac:dyDescent="0.3">
      <c r="A307" s="3"/>
      <c r="B307" s="3"/>
      <c r="C307" s="2"/>
      <c r="D307" s="3"/>
      <c r="E307" s="3"/>
      <c r="F307" s="3"/>
      <c r="G307" s="3"/>
      <c r="H307" s="3"/>
      <c r="I307" s="2"/>
      <c r="J307" s="2"/>
      <c r="K307" s="31"/>
      <c r="L307" s="31"/>
    </row>
    <row r="308" spans="1:12" x14ac:dyDescent="0.3">
      <c r="A308" s="3"/>
      <c r="B308" s="3"/>
      <c r="C308" s="2"/>
      <c r="D308" s="3"/>
      <c r="E308" s="3"/>
      <c r="F308" s="3"/>
      <c r="G308" s="3"/>
      <c r="H308" s="3"/>
      <c r="I308" s="2"/>
      <c r="J308" s="2"/>
      <c r="K308" s="31"/>
      <c r="L308" s="31"/>
    </row>
    <row r="309" spans="1:12" x14ac:dyDescent="0.3">
      <c r="A309" s="3"/>
      <c r="B309" s="3"/>
      <c r="C309" s="2"/>
      <c r="D309" s="3"/>
      <c r="E309" s="3"/>
      <c r="F309" s="3"/>
      <c r="G309" s="3"/>
      <c r="H309" s="3"/>
      <c r="I309" s="2"/>
      <c r="J309" s="2"/>
      <c r="K309" s="31"/>
      <c r="L309" s="31"/>
    </row>
    <row r="310" spans="1:12" x14ac:dyDescent="0.3">
      <c r="A310" s="3"/>
      <c r="B310" s="3"/>
      <c r="C310" s="2"/>
      <c r="D310" s="3"/>
      <c r="E310" s="3"/>
      <c r="F310" s="3"/>
      <c r="G310" s="3"/>
      <c r="H310" s="3"/>
      <c r="I310" s="2"/>
      <c r="J310" s="2"/>
      <c r="K310" s="31"/>
      <c r="L310" s="31"/>
    </row>
    <row r="311" spans="1:12" x14ac:dyDescent="0.3">
      <c r="A311" s="3"/>
      <c r="B311" s="3"/>
      <c r="C311" s="2"/>
      <c r="D311" s="3"/>
      <c r="E311" s="3"/>
      <c r="F311" s="3"/>
      <c r="G311" s="3"/>
      <c r="H311" s="3"/>
      <c r="I311" s="2"/>
      <c r="J311" s="2"/>
      <c r="K311" s="31"/>
      <c r="L311" s="31"/>
    </row>
    <row r="312" spans="1:12" x14ac:dyDescent="0.3">
      <c r="A312" s="3"/>
      <c r="B312" s="3"/>
      <c r="C312" s="2"/>
      <c r="D312" s="3"/>
      <c r="E312" s="3"/>
      <c r="F312" s="3"/>
      <c r="G312" s="3"/>
      <c r="H312" s="3"/>
      <c r="I312" s="2"/>
      <c r="J312" s="2"/>
      <c r="K312" s="31"/>
      <c r="L312" s="31"/>
    </row>
    <row r="313" spans="1:12" x14ac:dyDescent="0.3">
      <c r="A313" s="3"/>
      <c r="B313" s="3"/>
      <c r="C313" s="2"/>
      <c r="D313" s="3"/>
      <c r="E313" s="3"/>
      <c r="F313" s="3"/>
      <c r="G313" s="3"/>
      <c r="H313" s="3"/>
      <c r="I313" s="2"/>
      <c r="J313" s="2"/>
      <c r="K313" s="31"/>
      <c r="L313" s="31"/>
    </row>
    <row r="314" spans="1:12" x14ac:dyDescent="0.3">
      <c r="A314" s="3"/>
      <c r="B314" s="3"/>
      <c r="C314" s="2"/>
      <c r="D314" s="3"/>
      <c r="E314" s="3"/>
      <c r="F314" s="3"/>
      <c r="G314" s="3"/>
      <c r="H314" s="3"/>
      <c r="I314" s="2"/>
      <c r="J314" s="2"/>
      <c r="K314" s="31"/>
      <c r="L314" s="31"/>
    </row>
    <row r="315" spans="1:12" x14ac:dyDescent="0.3">
      <c r="A315" s="3"/>
      <c r="B315" s="3"/>
      <c r="C315" s="2"/>
      <c r="D315" s="3"/>
      <c r="E315" s="3"/>
      <c r="F315" s="3"/>
      <c r="G315" s="3"/>
      <c r="H315" s="3"/>
      <c r="I315" s="2"/>
      <c r="J315" s="2"/>
      <c r="K315" s="31"/>
      <c r="L315" s="31"/>
    </row>
    <row r="316" spans="1:12" x14ac:dyDescent="0.3">
      <c r="A316" s="3"/>
      <c r="B316" s="3"/>
      <c r="C316" s="2"/>
      <c r="D316" s="3"/>
      <c r="E316" s="3"/>
      <c r="F316" s="3"/>
      <c r="G316" s="3"/>
      <c r="H316" s="3"/>
      <c r="I316" s="2"/>
      <c r="J316" s="2"/>
      <c r="K316" s="31"/>
      <c r="L316" s="31"/>
    </row>
    <row r="317" spans="1:12" x14ac:dyDescent="0.3">
      <c r="A317" s="3"/>
      <c r="B317" s="3"/>
      <c r="C317" s="2"/>
      <c r="D317" s="3"/>
      <c r="E317" s="3"/>
      <c r="F317" s="3"/>
      <c r="G317" s="3"/>
      <c r="H317" s="3"/>
      <c r="I317" s="2"/>
      <c r="J317" s="2"/>
      <c r="K317" s="31"/>
      <c r="L317" s="31"/>
    </row>
    <row r="318" spans="1:12" x14ac:dyDescent="0.3">
      <c r="A318" s="3"/>
      <c r="B318" s="3"/>
      <c r="C318" s="2"/>
      <c r="D318" s="3"/>
      <c r="E318" s="3"/>
      <c r="F318" s="3"/>
      <c r="G318" s="3"/>
      <c r="H318" s="3"/>
      <c r="I318" s="2"/>
      <c r="J318" s="2"/>
      <c r="K318" s="31"/>
      <c r="L318" s="31"/>
    </row>
    <row r="319" spans="1:12" x14ac:dyDescent="0.3">
      <c r="A319" s="3"/>
      <c r="B319" s="3"/>
      <c r="C319" s="2"/>
      <c r="D319" s="3"/>
      <c r="E319" s="3"/>
      <c r="F319" s="3"/>
      <c r="G319" s="3"/>
      <c r="H319" s="3"/>
      <c r="I319" s="2"/>
      <c r="J319" s="2"/>
      <c r="K319" s="31"/>
      <c r="L319" s="31"/>
    </row>
    <row r="320" spans="1:12" x14ac:dyDescent="0.3">
      <c r="A320" s="3"/>
      <c r="B320" s="3"/>
      <c r="C320" s="2"/>
      <c r="D320" s="3"/>
      <c r="E320" s="3"/>
      <c r="F320" s="3"/>
      <c r="G320" s="3"/>
      <c r="H320" s="3"/>
      <c r="I320" s="2"/>
      <c r="J320" s="2"/>
      <c r="K320" s="31"/>
      <c r="L320" s="31"/>
    </row>
    <row r="321" spans="1:12" x14ac:dyDescent="0.3">
      <c r="A321" s="3"/>
      <c r="B321" s="3"/>
      <c r="C321" s="2"/>
      <c r="D321" s="3"/>
      <c r="E321" s="3"/>
      <c r="F321" s="3"/>
      <c r="G321" s="3"/>
      <c r="H321" s="3"/>
      <c r="I321" s="2"/>
      <c r="J321" s="2"/>
      <c r="K321" s="31"/>
      <c r="L321" s="31"/>
    </row>
    <row r="322" spans="1:12" x14ac:dyDescent="0.3">
      <c r="A322" s="3"/>
      <c r="B322" s="3"/>
      <c r="C322" s="2"/>
      <c r="D322" s="3"/>
      <c r="E322" s="3"/>
      <c r="F322" s="3"/>
      <c r="G322" s="3"/>
      <c r="H322" s="3"/>
      <c r="I322" s="2"/>
      <c r="J322" s="2"/>
      <c r="K322" s="31"/>
      <c r="L322" s="31"/>
    </row>
    <row r="323" spans="1:12" x14ac:dyDescent="0.3">
      <c r="A323" s="3"/>
      <c r="B323" s="3"/>
      <c r="C323" s="2"/>
      <c r="D323" s="3"/>
      <c r="E323" s="3"/>
      <c r="F323" s="3"/>
      <c r="G323" s="3"/>
      <c r="H323" s="3"/>
      <c r="I323" s="2"/>
      <c r="J323" s="2"/>
      <c r="K323" s="31"/>
      <c r="L323" s="31"/>
    </row>
    <row r="324" spans="1:12" x14ac:dyDescent="0.3">
      <c r="A324" s="3"/>
      <c r="B324" s="3"/>
      <c r="C324" s="2"/>
      <c r="D324" s="3"/>
      <c r="E324" s="3"/>
      <c r="F324" s="3"/>
      <c r="G324" s="3"/>
      <c r="H324" s="3"/>
      <c r="I324" s="2"/>
      <c r="J324" s="2"/>
      <c r="K324" s="31"/>
      <c r="L324" s="31"/>
    </row>
    <row r="325" spans="1:12" x14ac:dyDescent="0.3">
      <c r="A325" s="3"/>
      <c r="B325" s="3"/>
      <c r="C325" s="2"/>
      <c r="D325" s="3"/>
      <c r="E325" s="3"/>
      <c r="F325" s="3"/>
      <c r="G325" s="3"/>
      <c r="H325" s="3"/>
      <c r="I325" s="2"/>
      <c r="J325" s="2"/>
      <c r="K325" s="31"/>
      <c r="L325" s="31"/>
    </row>
    <row r="326" spans="1:12" x14ac:dyDescent="0.3">
      <c r="A326" s="3"/>
      <c r="B326" s="3"/>
      <c r="C326" s="2"/>
      <c r="D326" s="3"/>
      <c r="E326" s="3"/>
      <c r="F326" s="3"/>
      <c r="G326" s="3"/>
      <c r="H326" s="3"/>
      <c r="I326" s="2"/>
      <c r="J326" s="2"/>
      <c r="K326" s="31"/>
      <c r="L326" s="31"/>
    </row>
    <row r="327" spans="1:12" x14ac:dyDescent="0.3">
      <c r="A327" s="3"/>
      <c r="B327" s="3"/>
      <c r="C327" s="2"/>
      <c r="D327" s="3"/>
      <c r="E327" s="3"/>
      <c r="F327" s="3"/>
      <c r="G327" s="3"/>
      <c r="H327" s="3"/>
      <c r="I327" s="2"/>
      <c r="J327" s="2"/>
      <c r="K327" s="31"/>
      <c r="L327" s="31"/>
    </row>
    <row r="328" spans="1:12" x14ac:dyDescent="0.3">
      <c r="A328" s="3"/>
      <c r="B328" s="3"/>
      <c r="C328" s="2"/>
      <c r="D328" s="3"/>
      <c r="E328" s="3"/>
      <c r="F328" s="3"/>
      <c r="G328" s="3"/>
      <c r="H328" s="3"/>
      <c r="I328" s="2"/>
      <c r="J328" s="2"/>
      <c r="K328" s="31"/>
      <c r="L328" s="31"/>
    </row>
    <row r="329" spans="1:12" x14ac:dyDescent="0.3">
      <c r="A329" s="3"/>
      <c r="B329" s="3"/>
      <c r="C329" s="2"/>
      <c r="D329" s="3"/>
      <c r="E329" s="3"/>
      <c r="F329" s="3"/>
      <c r="G329" s="3"/>
      <c r="H329" s="3"/>
      <c r="I329" s="2"/>
      <c r="J329" s="2"/>
      <c r="K329" s="31"/>
      <c r="L329" s="31"/>
    </row>
    <row r="330" spans="1:12" x14ac:dyDescent="0.3">
      <c r="A330" s="3"/>
      <c r="B330" s="3"/>
      <c r="C330" s="2"/>
      <c r="D330" s="3"/>
      <c r="E330" s="3"/>
      <c r="F330" s="3"/>
      <c r="G330" s="3"/>
      <c r="H330" s="3"/>
      <c r="I330" s="2"/>
      <c r="J330" s="2"/>
      <c r="K330" s="31"/>
      <c r="L330" s="31"/>
    </row>
    <row r="331" spans="1:12" x14ac:dyDescent="0.3">
      <c r="A331" s="3"/>
      <c r="B331" s="3"/>
      <c r="C331" s="2"/>
      <c r="D331" s="3"/>
      <c r="E331" s="3"/>
      <c r="F331" s="3"/>
      <c r="G331" s="3"/>
      <c r="H331" s="3"/>
      <c r="I331" s="2"/>
      <c r="J331" s="2"/>
      <c r="K331" s="31"/>
      <c r="L331" s="31"/>
    </row>
    <row r="332" spans="1:12" x14ac:dyDescent="0.3">
      <c r="A332" s="3"/>
      <c r="B332" s="3"/>
      <c r="C332" s="2"/>
      <c r="D332" s="3"/>
      <c r="E332" s="3"/>
      <c r="F332" s="3"/>
      <c r="G332" s="3"/>
      <c r="H332" s="3"/>
      <c r="I332" s="2"/>
      <c r="J332" s="2"/>
      <c r="K332" s="31"/>
      <c r="L332" s="31"/>
    </row>
    <row r="333" spans="1:12" x14ac:dyDescent="0.3">
      <c r="A333" s="3"/>
      <c r="B333" s="3"/>
      <c r="C333" s="2"/>
      <c r="D333" s="3"/>
      <c r="E333" s="3"/>
      <c r="F333" s="3"/>
      <c r="G333" s="3"/>
      <c r="H333" s="3"/>
      <c r="I333" s="2"/>
      <c r="J333" s="2"/>
      <c r="K333" s="31"/>
      <c r="L333" s="31"/>
    </row>
    <row r="334" spans="1:12" x14ac:dyDescent="0.3">
      <c r="A334" s="3"/>
      <c r="B334" s="3"/>
      <c r="C334" s="2"/>
      <c r="D334" s="3"/>
      <c r="E334" s="3"/>
      <c r="F334" s="3"/>
      <c r="G334" s="3"/>
      <c r="H334" s="3"/>
      <c r="I334" s="2"/>
      <c r="J334" s="2"/>
      <c r="K334" s="31"/>
      <c r="L334" s="31"/>
    </row>
    <row r="335" spans="1:12" x14ac:dyDescent="0.3">
      <c r="A335" s="3"/>
      <c r="B335" s="3"/>
      <c r="C335" s="2"/>
      <c r="D335" s="3"/>
      <c r="E335" s="3"/>
      <c r="F335" s="3"/>
      <c r="G335" s="3"/>
      <c r="H335" s="3"/>
      <c r="I335" s="2"/>
      <c r="J335" s="2"/>
      <c r="K335" s="31"/>
      <c r="L335" s="31"/>
    </row>
    <row r="336" spans="1:12" x14ac:dyDescent="0.3">
      <c r="A336" s="3"/>
      <c r="B336" s="3"/>
      <c r="C336" s="2"/>
      <c r="D336" s="3"/>
      <c r="E336" s="3"/>
      <c r="F336" s="3"/>
      <c r="G336" s="3"/>
      <c r="H336" s="3"/>
      <c r="I336" s="2"/>
      <c r="J336" s="2"/>
      <c r="K336" s="31"/>
      <c r="L336" s="31"/>
    </row>
    <row r="337" spans="1:12" x14ac:dyDescent="0.3">
      <c r="A337" s="3"/>
      <c r="B337" s="3"/>
      <c r="C337" s="2"/>
      <c r="D337" s="3"/>
      <c r="E337" s="3"/>
      <c r="F337" s="3"/>
      <c r="G337" s="3"/>
      <c r="H337" s="3"/>
      <c r="I337" s="2"/>
      <c r="J337" s="2"/>
      <c r="K337" s="31"/>
      <c r="L337" s="31"/>
    </row>
    <row r="338" spans="1:12" x14ac:dyDescent="0.3">
      <c r="A338" s="3"/>
      <c r="B338" s="3"/>
      <c r="C338" s="2"/>
      <c r="D338" s="3"/>
      <c r="E338" s="3"/>
      <c r="F338" s="3"/>
      <c r="G338" s="3"/>
      <c r="H338" s="3"/>
      <c r="I338" s="2"/>
      <c r="J338" s="2"/>
      <c r="K338" s="31"/>
      <c r="L338" s="31"/>
    </row>
    <row r="339" spans="1:12" x14ac:dyDescent="0.3">
      <c r="A339" s="3"/>
      <c r="B339" s="3"/>
      <c r="C339" s="2"/>
      <c r="D339" s="3"/>
      <c r="E339" s="3"/>
      <c r="F339" s="3"/>
      <c r="G339" s="3"/>
      <c r="H339" s="3"/>
      <c r="I339" s="2"/>
      <c r="J339" s="2"/>
      <c r="K339" s="31"/>
      <c r="L339" s="31"/>
    </row>
    <row r="340" spans="1:12" x14ac:dyDescent="0.3">
      <c r="A340" s="3"/>
      <c r="B340" s="3"/>
      <c r="C340" s="2"/>
      <c r="D340" s="3"/>
      <c r="E340" s="3"/>
      <c r="F340" s="3"/>
      <c r="G340" s="3"/>
      <c r="H340" s="3"/>
      <c r="I340" s="2"/>
      <c r="J340" s="2"/>
      <c r="K340" s="31"/>
      <c r="L340" s="31"/>
    </row>
    <row r="341" spans="1:12" x14ac:dyDescent="0.3">
      <c r="A341" s="3"/>
      <c r="B341" s="3"/>
      <c r="C341" s="2"/>
      <c r="D341" s="3"/>
      <c r="E341" s="3"/>
      <c r="F341" s="3"/>
      <c r="G341" s="3"/>
      <c r="H341" s="3"/>
      <c r="I341" s="2"/>
      <c r="J341" s="2"/>
      <c r="K341" s="31"/>
      <c r="L341" s="31"/>
    </row>
    <row r="342" spans="1:12" x14ac:dyDescent="0.3">
      <c r="A342" s="3"/>
      <c r="B342" s="3"/>
      <c r="C342" s="2"/>
      <c r="D342" s="3"/>
      <c r="E342" s="3"/>
      <c r="F342" s="3"/>
      <c r="G342" s="3"/>
      <c r="H342" s="3"/>
      <c r="I342" s="2"/>
      <c r="J342" s="2"/>
      <c r="K342" s="31"/>
      <c r="L342" s="31"/>
    </row>
    <row r="343" spans="1:12" x14ac:dyDescent="0.3">
      <c r="A343" s="3"/>
      <c r="B343" s="3"/>
      <c r="C343" s="2"/>
      <c r="D343" s="3"/>
      <c r="E343" s="3"/>
      <c r="F343" s="3"/>
      <c r="G343" s="3"/>
      <c r="H343" s="3"/>
      <c r="I343" s="2"/>
      <c r="J343" s="2"/>
      <c r="K343" s="31"/>
      <c r="L343" s="31"/>
    </row>
    <row r="344" spans="1:12" x14ac:dyDescent="0.3">
      <c r="A344" s="3"/>
      <c r="B344" s="3"/>
      <c r="C344" s="2"/>
      <c r="D344" s="3"/>
      <c r="E344" s="3"/>
      <c r="F344" s="3"/>
      <c r="G344" s="3"/>
      <c r="H344" s="3"/>
      <c r="I344" s="2"/>
      <c r="J344" s="2"/>
      <c r="K344" s="31"/>
      <c r="L344" s="31"/>
    </row>
    <row r="345" spans="1:12" x14ac:dyDescent="0.3">
      <c r="A345" s="3"/>
      <c r="B345" s="3"/>
      <c r="C345" s="2"/>
      <c r="D345" s="3"/>
      <c r="E345" s="3"/>
      <c r="F345" s="3"/>
      <c r="G345" s="3"/>
      <c r="H345" s="3"/>
      <c r="I345" s="2"/>
      <c r="J345" s="2"/>
      <c r="K345" s="31"/>
      <c r="L345" s="31"/>
    </row>
    <row r="346" spans="1:12" x14ac:dyDescent="0.3">
      <c r="A346" s="3"/>
      <c r="B346" s="3"/>
      <c r="C346" s="2"/>
      <c r="D346" s="3"/>
      <c r="E346" s="3"/>
      <c r="F346" s="3"/>
      <c r="G346" s="3"/>
      <c r="H346" s="3"/>
      <c r="I346" s="2"/>
      <c r="J346" s="2"/>
      <c r="K346" s="31"/>
      <c r="L346" s="31"/>
    </row>
    <row r="347" spans="1:12" x14ac:dyDescent="0.3">
      <c r="A347" s="3"/>
      <c r="B347" s="3"/>
      <c r="C347" s="2"/>
      <c r="D347" s="3"/>
      <c r="E347" s="3"/>
      <c r="F347" s="3"/>
      <c r="G347" s="3"/>
      <c r="H347" s="3"/>
      <c r="I347" s="2"/>
      <c r="J347" s="2"/>
      <c r="K347" s="31"/>
      <c r="L347" s="31"/>
    </row>
    <row r="348" spans="1:12" x14ac:dyDescent="0.3">
      <c r="A348" s="3"/>
      <c r="B348" s="3"/>
      <c r="C348" s="2"/>
      <c r="D348" s="3"/>
      <c r="E348" s="3"/>
      <c r="F348" s="3"/>
      <c r="G348" s="3"/>
      <c r="H348" s="3"/>
      <c r="I348" s="2"/>
      <c r="J348" s="2"/>
      <c r="K348" s="31"/>
      <c r="L348" s="31"/>
    </row>
    <row r="349" spans="1:12" x14ac:dyDescent="0.3">
      <c r="A349" s="3"/>
      <c r="B349" s="3"/>
      <c r="C349" s="2"/>
      <c r="D349" s="3"/>
      <c r="E349" s="3"/>
      <c r="F349" s="3"/>
      <c r="G349" s="3"/>
      <c r="H349" s="3"/>
      <c r="I349" s="2"/>
      <c r="J349" s="2"/>
      <c r="K349" s="31"/>
      <c r="L349" s="31"/>
    </row>
    <row r="350" spans="1:12" x14ac:dyDescent="0.3">
      <c r="A350" s="3"/>
      <c r="B350" s="3"/>
      <c r="C350" s="2"/>
      <c r="D350" s="3"/>
      <c r="E350" s="3"/>
      <c r="F350" s="3"/>
      <c r="G350" s="3"/>
      <c r="H350" s="3"/>
      <c r="I350" s="2"/>
      <c r="J350" s="2"/>
      <c r="K350" s="31"/>
      <c r="L350" s="31"/>
    </row>
    <row r="351" spans="1:12" x14ac:dyDescent="0.3">
      <c r="A351" s="3"/>
      <c r="B351" s="3"/>
      <c r="C351" s="2"/>
      <c r="D351" s="3"/>
      <c r="E351" s="3"/>
      <c r="F351" s="3"/>
      <c r="G351" s="3"/>
      <c r="H351" s="3"/>
      <c r="I351" s="2"/>
      <c r="J351" s="2"/>
      <c r="K351" s="31"/>
      <c r="L351" s="31"/>
    </row>
    <row r="352" spans="1:12" x14ac:dyDescent="0.3">
      <c r="A352" s="3"/>
      <c r="B352" s="3"/>
      <c r="C352" s="2"/>
      <c r="D352" s="3"/>
      <c r="E352" s="3"/>
      <c r="F352" s="3"/>
      <c r="G352" s="3"/>
      <c r="H352" s="3"/>
      <c r="I352" s="2"/>
      <c r="J352" s="2"/>
      <c r="K352" s="31"/>
      <c r="L352" s="31"/>
    </row>
    <row r="353" spans="1:12" x14ac:dyDescent="0.3">
      <c r="A353" s="3"/>
      <c r="B353" s="3"/>
      <c r="C353" s="2"/>
      <c r="D353" s="3"/>
      <c r="E353" s="3"/>
      <c r="F353" s="3"/>
      <c r="G353" s="3"/>
      <c r="H353" s="3"/>
      <c r="I353" s="2"/>
      <c r="J353" s="2"/>
      <c r="K353" s="31"/>
      <c r="L353" s="31"/>
    </row>
    <row r="354" spans="1:12" x14ac:dyDescent="0.3">
      <c r="A354" s="3"/>
      <c r="B354" s="3"/>
      <c r="C354" s="2"/>
      <c r="D354" s="3"/>
      <c r="E354" s="3"/>
      <c r="F354" s="3"/>
      <c r="G354" s="3"/>
      <c r="H354" s="3"/>
      <c r="I354" s="2"/>
      <c r="J354" s="2"/>
      <c r="K354" s="31"/>
      <c r="L354" s="31"/>
    </row>
    <row r="355" spans="1:12" x14ac:dyDescent="0.3">
      <c r="A355" s="3"/>
      <c r="B355" s="3"/>
      <c r="C355" s="2"/>
      <c r="D355" s="3"/>
      <c r="E355" s="3"/>
      <c r="F355" s="3"/>
      <c r="G355" s="3"/>
      <c r="H355" s="3"/>
      <c r="I355" s="2"/>
      <c r="J355" s="2"/>
      <c r="K355" s="31"/>
      <c r="L355" s="31"/>
    </row>
    <row r="356" spans="1:12" x14ac:dyDescent="0.3">
      <c r="A356" s="3"/>
      <c r="B356" s="3"/>
      <c r="C356" s="2"/>
      <c r="D356" s="3"/>
      <c r="E356" s="3"/>
      <c r="F356" s="3"/>
      <c r="G356" s="3"/>
      <c r="H356" s="3"/>
      <c r="I356" s="2"/>
      <c r="J356" s="2"/>
      <c r="K356" s="31"/>
      <c r="L356" s="31"/>
    </row>
    <row r="357" spans="1:12" x14ac:dyDescent="0.3">
      <c r="A357" s="3"/>
      <c r="B357" s="3"/>
      <c r="C357" s="2"/>
      <c r="D357" s="3"/>
      <c r="E357" s="3"/>
      <c r="F357" s="3"/>
      <c r="G357" s="3"/>
      <c r="H357" s="3"/>
      <c r="I357" s="2"/>
      <c r="J357" s="2"/>
      <c r="K357" s="31"/>
      <c r="L357" s="31"/>
    </row>
    <row r="358" spans="1:12" x14ac:dyDescent="0.3">
      <c r="A358" s="3"/>
      <c r="B358" s="3"/>
      <c r="C358" s="2"/>
      <c r="D358" s="3"/>
      <c r="E358" s="3"/>
      <c r="F358" s="3"/>
      <c r="G358" s="3"/>
      <c r="H358" s="3"/>
      <c r="I358" s="2"/>
      <c r="J358" s="2"/>
      <c r="K358" s="31"/>
      <c r="L358" s="31"/>
    </row>
    <row r="359" spans="1:12" x14ac:dyDescent="0.3">
      <c r="A359" s="3"/>
      <c r="B359" s="3"/>
      <c r="C359" s="2"/>
      <c r="D359" s="3"/>
      <c r="E359" s="3"/>
      <c r="F359" s="3"/>
      <c r="G359" s="3"/>
      <c r="H359" s="3"/>
      <c r="I359" s="2"/>
      <c r="J359" s="2"/>
      <c r="K359" s="31"/>
      <c r="L359" s="31"/>
    </row>
    <row r="360" spans="1:12" x14ac:dyDescent="0.3">
      <c r="A360" s="3"/>
      <c r="B360" s="3"/>
      <c r="C360" s="2"/>
      <c r="D360" s="3"/>
      <c r="E360" s="3"/>
      <c r="F360" s="3"/>
      <c r="G360" s="3"/>
      <c r="H360" s="3"/>
      <c r="I360" s="2"/>
      <c r="J360" s="2"/>
      <c r="K360" s="31"/>
      <c r="L360" s="31"/>
    </row>
    <row r="361" spans="1:12" x14ac:dyDescent="0.3">
      <c r="A361" s="3"/>
      <c r="B361" s="3"/>
      <c r="C361" s="2"/>
      <c r="D361" s="3"/>
      <c r="E361" s="3"/>
      <c r="F361" s="3"/>
      <c r="G361" s="3"/>
      <c r="H361" s="3"/>
      <c r="I361" s="2"/>
      <c r="J361" s="2"/>
      <c r="K361" s="31"/>
      <c r="L361" s="31"/>
    </row>
    <row r="362" spans="1:12" x14ac:dyDescent="0.3">
      <c r="A362" s="3"/>
      <c r="B362" s="3"/>
      <c r="C362" s="2"/>
      <c r="D362" s="3"/>
      <c r="E362" s="3"/>
      <c r="F362" s="3"/>
      <c r="G362" s="3"/>
      <c r="H362" s="3"/>
      <c r="I362" s="2"/>
      <c r="J362" s="2"/>
      <c r="K362" s="31"/>
      <c r="L362" s="31"/>
    </row>
    <row r="363" spans="1:12" x14ac:dyDescent="0.3">
      <c r="A363" s="3"/>
      <c r="B363" s="3"/>
      <c r="C363" s="2"/>
      <c r="D363" s="3"/>
      <c r="E363" s="3"/>
      <c r="F363" s="3"/>
      <c r="G363" s="3"/>
      <c r="H363" s="3"/>
      <c r="I363" s="2"/>
      <c r="J363" s="2"/>
      <c r="K363" s="31"/>
      <c r="L363" s="31"/>
    </row>
    <row r="364" spans="1:12" x14ac:dyDescent="0.3">
      <c r="A364" s="3"/>
      <c r="B364" s="3"/>
      <c r="C364" s="2"/>
      <c r="D364" s="3"/>
      <c r="E364" s="3"/>
      <c r="F364" s="3"/>
      <c r="G364" s="3"/>
      <c r="H364" s="3"/>
      <c r="I364" s="2"/>
      <c r="J364" s="2"/>
      <c r="K364" s="31"/>
      <c r="L364" s="31"/>
    </row>
    <row r="365" spans="1:12" x14ac:dyDescent="0.3">
      <c r="A365" s="3"/>
      <c r="B365" s="3"/>
      <c r="C365" s="2"/>
      <c r="D365" s="3"/>
      <c r="E365" s="3"/>
      <c r="F365" s="3"/>
      <c r="G365" s="3"/>
      <c r="H365" s="3"/>
      <c r="I365" s="2"/>
      <c r="J365" s="2"/>
      <c r="K365" s="31"/>
      <c r="L365" s="31"/>
    </row>
    <row r="366" spans="1:12" x14ac:dyDescent="0.3">
      <c r="A366" s="3"/>
      <c r="B366" s="3"/>
      <c r="C366" s="2"/>
      <c r="D366" s="3"/>
      <c r="E366" s="3"/>
      <c r="F366" s="3"/>
      <c r="G366" s="3"/>
      <c r="H366" s="3"/>
      <c r="I366" s="2"/>
      <c r="J366" s="2"/>
      <c r="K366" s="31"/>
      <c r="L366" s="31"/>
    </row>
    <row r="367" spans="1:12" x14ac:dyDescent="0.3">
      <c r="A367" s="3"/>
      <c r="B367" s="3"/>
      <c r="C367" s="2"/>
      <c r="D367" s="3"/>
      <c r="E367" s="3"/>
      <c r="F367" s="3"/>
      <c r="G367" s="3"/>
      <c r="H367" s="3"/>
      <c r="I367" s="2"/>
      <c r="J367" s="2"/>
      <c r="K367" s="31"/>
      <c r="L367" s="31"/>
    </row>
    <row r="368" spans="1:12" x14ac:dyDescent="0.3">
      <c r="A368" s="3"/>
      <c r="B368" s="3"/>
      <c r="C368" s="2"/>
      <c r="D368" s="3"/>
      <c r="E368" s="3"/>
      <c r="F368" s="3"/>
      <c r="G368" s="3"/>
      <c r="H368" s="3"/>
      <c r="I368" s="2"/>
      <c r="J368" s="2"/>
      <c r="K368" s="31"/>
      <c r="L368" s="31"/>
    </row>
    <row r="369" spans="1:12" x14ac:dyDescent="0.3">
      <c r="A369" s="3"/>
      <c r="B369" s="3"/>
      <c r="C369" s="2"/>
      <c r="D369" s="3"/>
      <c r="E369" s="3"/>
      <c r="F369" s="3"/>
      <c r="G369" s="3"/>
      <c r="H369" s="3"/>
      <c r="I369" s="2"/>
      <c r="J369" s="2"/>
      <c r="K369" s="31"/>
      <c r="L369" s="31"/>
    </row>
    <row r="370" spans="1:12" x14ac:dyDescent="0.3">
      <c r="A370" s="3"/>
      <c r="B370" s="3"/>
      <c r="C370" s="2"/>
      <c r="D370" s="3"/>
      <c r="E370" s="3"/>
      <c r="F370" s="3"/>
      <c r="G370" s="3"/>
      <c r="H370" s="3"/>
      <c r="I370" s="2"/>
      <c r="J370" s="2"/>
      <c r="K370" s="31"/>
      <c r="L370" s="31"/>
    </row>
    <row r="371" spans="1:12" x14ac:dyDescent="0.3">
      <c r="A371" s="3"/>
      <c r="B371" s="3"/>
      <c r="C371" s="2"/>
      <c r="D371" s="3"/>
      <c r="E371" s="3"/>
      <c r="F371" s="3"/>
      <c r="G371" s="3"/>
      <c r="H371" s="3"/>
      <c r="I371" s="2"/>
      <c r="J371" s="2"/>
      <c r="K371" s="31"/>
      <c r="L371" s="31"/>
    </row>
    <row r="372" spans="1:12" x14ac:dyDescent="0.3">
      <c r="A372" s="3"/>
      <c r="B372" s="3"/>
      <c r="C372" s="2"/>
      <c r="D372" s="3"/>
      <c r="E372" s="3"/>
      <c r="F372" s="3"/>
      <c r="G372" s="3"/>
      <c r="H372" s="3"/>
      <c r="I372" s="2"/>
      <c r="J372" s="2"/>
      <c r="K372" s="31"/>
      <c r="L372" s="31"/>
    </row>
    <row r="373" spans="1:12" x14ac:dyDescent="0.3">
      <c r="A373" s="3"/>
      <c r="B373" s="3"/>
      <c r="C373" s="2"/>
      <c r="D373" s="3"/>
      <c r="E373" s="3"/>
      <c r="F373" s="3"/>
      <c r="G373" s="3"/>
      <c r="H373" s="3"/>
      <c r="I373" s="2"/>
      <c r="J373" s="2"/>
      <c r="K373" s="31"/>
      <c r="L373" s="31"/>
    </row>
    <row r="374" spans="1:12" x14ac:dyDescent="0.3">
      <c r="A374" s="3"/>
      <c r="B374" s="3"/>
      <c r="C374" s="2"/>
      <c r="D374" s="3"/>
      <c r="E374" s="3"/>
      <c r="F374" s="3"/>
      <c r="G374" s="3"/>
      <c r="H374" s="3"/>
      <c r="I374" s="2"/>
      <c r="J374" s="2"/>
      <c r="K374" s="31"/>
      <c r="L374" s="31"/>
    </row>
    <row r="375" spans="1:12" x14ac:dyDescent="0.3">
      <c r="A375" s="3"/>
      <c r="B375" s="3"/>
      <c r="C375" s="2"/>
      <c r="D375" s="3"/>
      <c r="E375" s="3"/>
      <c r="F375" s="3"/>
      <c r="G375" s="3"/>
      <c r="H375" s="3"/>
      <c r="I375" s="2"/>
      <c r="J375" s="2"/>
      <c r="K375" s="31"/>
      <c r="L375" s="31"/>
    </row>
    <row r="376" spans="1:12" x14ac:dyDescent="0.3">
      <c r="A376" s="3"/>
      <c r="B376" s="3"/>
      <c r="C376" s="2"/>
      <c r="D376" s="3"/>
      <c r="E376" s="3"/>
      <c r="F376" s="3"/>
      <c r="G376" s="3"/>
      <c r="H376" s="3"/>
      <c r="I376" s="2"/>
      <c r="J376" s="2"/>
      <c r="K376" s="31"/>
      <c r="L376" s="31"/>
    </row>
    <row r="377" spans="1:12" x14ac:dyDescent="0.3">
      <c r="A377" s="3"/>
      <c r="B377" s="3"/>
      <c r="C377" s="2"/>
      <c r="D377" s="3"/>
      <c r="E377" s="3"/>
      <c r="F377" s="3"/>
      <c r="G377" s="3"/>
      <c r="H377" s="3"/>
      <c r="I377" s="2"/>
      <c r="J377" s="2"/>
      <c r="K377" s="31"/>
      <c r="L377" s="31"/>
    </row>
    <row r="378" spans="1:12" x14ac:dyDescent="0.3">
      <c r="A378" s="3"/>
      <c r="B378" s="3"/>
      <c r="C378" s="2"/>
      <c r="D378" s="3"/>
      <c r="E378" s="3"/>
      <c r="F378" s="3"/>
      <c r="G378" s="3"/>
      <c r="H378" s="3"/>
      <c r="I378" s="2"/>
      <c r="J378" s="2"/>
      <c r="K378" s="31"/>
      <c r="L378" s="31"/>
    </row>
    <row r="379" spans="1:12" x14ac:dyDescent="0.3">
      <c r="A379" s="3"/>
      <c r="B379" s="3"/>
      <c r="C379" s="2"/>
      <c r="D379" s="3"/>
      <c r="E379" s="3"/>
      <c r="F379" s="3"/>
      <c r="G379" s="3"/>
      <c r="H379" s="3"/>
      <c r="I379" s="2"/>
      <c r="J379" s="2"/>
      <c r="K379" s="31"/>
      <c r="L379" s="31"/>
    </row>
    <row r="380" spans="1:12" x14ac:dyDescent="0.3">
      <c r="A380" s="3"/>
      <c r="B380" s="3"/>
      <c r="C380" s="2"/>
      <c r="D380" s="3"/>
      <c r="E380" s="3"/>
      <c r="F380" s="3"/>
      <c r="G380" s="3"/>
      <c r="H380" s="3"/>
      <c r="I380" s="2"/>
      <c r="J380" s="2"/>
      <c r="K380" s="31"/>
      <c r="L380" s="31"/>
    </row>
    <row r="381" spans="1:12" x14ac:dyDescent="0.3">
      <c r="A381" s="3"/>
      <c r="B381" s="3"/>
      <c r="C381" s="2"/>
      <c r="D381" s="3"/>
      <c r="E381" s="3"/>
      <c r="F381" s="3"/>
      <c r="G381" s="3"/>
      <c r="H381" s="3"/>
      <c r="I381" s="2"/>
      <c r="J381" s="2"/>
      <c r="K381" s="31"/>
      <c r="L381" s="31"/>
    </row>
    <row r="382" spans="1:12" x14ac:dyDescent="0.3">
      <c r="A382" s="3"/>
      <c r="B382" s="3"/>
      <c r="C382" s="2"/>
      <c r="D382" s="3"/>
      <c r="E382" s="3"/>
      <c r="F382" s="3"/>
      <c r="G382" s="3"/>
      <c r="H382" s="3"/>
      <c r="I382" s="2"/>
      <c r="J382" s="2"/>
      <c r="K382" s="31"/>
      <c r="L382" s="31"/>
    </row>
    <row r="383" spans="1:12" x14ac:dyDescent="0.3">
      <c r="A383" s="3"/>
      <c r="B383" s="3"/>
      <c r="C383" s="2"/>
      <c r="D383" s="3"/>
      <c r="E383" s="3"/>
      <c r="F383" s="3"/>
      <c r="G383" s="3"/>
      <c r="H383" s="3"/>
      <c r="I383" s="2"/>
      <c r="J383" s="2"/>
      <c r="K383" s="31"/>
      <c r="L383" s="31"/>
    </row>
    <row r="384" spans="1:12" x14ac:dyDescent="0.3">
      <c r="A384" s="3"/>
      <c r="B384" s="3"/>
      <c r="C384" s="2"/>
      <c r="D384" s="3"/>
      <c r="E384" s="3"/>
      <c r="F384" s="3"/>
      <c r="G384" s="3"/>
      <c r="H384" s="3"/>
      <c r="I384" s="2"/>
      <c r="J384" s="2"/>
      <c r="K384" s="31"/>
      <c r="L384" s="31"/>
    </row>
    <row r="385" spans="1:12" x14ac:dyDescent="0.3">
      <c r="A385" s="3"/>
      <c r="B385" s="3"/>
      <c r="C385" s="2"/>
      <c r="D385" s="3"/>
      <c r="E385" s="3"/>
      <c r="F385" s="3"/>
      <c r="G385" s="3"/>
      <c r="H385" s="3"/>
      <c r="I385" s="2"/>
      <c r="J385" s="2"/>
      <c r="K385" s="31"/>
      <c r="L385" s="31"/>
    </row>
    <row r="386" spans="1:12" x14ac:dyDescent="0.3">
      <c r="A386" s="3"/>
      <c r="B386" s="3"/>
      <c r="C386" s="2"/>
      <c r="D386" s="3"/>
      <c r="E386" s="3"/>
      <c r="F386" s="3"/>
      <c r="G386" s="3"/>
      <c r="H386" s="3"/>
      <c r="I386" s="2"/>
      <c r="J386" s="2"/>
      <c r="K386" s="31"/>
      <c r="L386" s="31"/>
    </row>
    <row r="387" spans="1:12" x14ac:dyDescent="0.3">
      <c r="A387" s="3"/>
      <c r="B387" s="3"/>
      <c r="C387" s="2"/>
      <c r="D387" s="3"/>
      <c r="E387" s="3"/>
      <c r="F387" s="3"/>
      <c r="G387" s="3"/>
      <c r="H387" s="3"/>
      <c r="I387" s="2"/>
      <c r="J387" s="2"/>
      <c r="K387" s="31"/>
      <c r="L387" s="31"/>
    </row>
    <row r="388" spans="1:12" x14ac:dyDescent="0.3">
      <c r="A388" s="3"/>
      <c r="B388" s="3"/>
      <c r="C388" s="2"/>
      <c r="D388" s="3"/>
      <c r="E388" s="3"/>
      <c r="F388" s="3"/>
      <c r="G388" s="3"/>
      <c r="H388" s="3"/>
      <c r="I388" s="2"/>
      <c r="J388" s="2"/>
      <c r="K388" s="31"/>
      <c r="L388" s="31"/>
    </row>
    <row r="389" spans="1:12" x14ac:dyDescent="0.3">
      <c r="A389" s="3"/>
      <c r="B389" s="3"/>
      <c r="C389" s="2"/>
      <c r="D389" s="3"/>
      <c r="E389" s="3"/>
      <c r="F389" s="3"/>
      <c r="G389" s="3"/>
      <c r="H389" s="3"/>
      <c r="I389" s="2"/>
      <c r="J389" s="2"/>
      <c r="K389" s="31"/>
      <c r="L389" s="31"/>
    </row>
    <row r="390" spans="1:12" x14ac:dyDescent="0.3">
      <c r="A390" s="3"/>
      <c r="B390" s="3"/>
      <c r="C390" s="2"/>
      <c r="D390" s="3"/>
      <c r="E390" s="3"/>
      <c r="F390" s="3"/>
      <c r="G390" s="3"/>
      <c r="H390" s="3"/>
      <c r="I390" s="2"/>
      <c r="J390" s="2"/>
      <c r="K390" s="31"/>
      <c r="L390" s="31"/>
    </row>
    <row r="391" spans="1:12" x14ac:dyDescent="0.3">
      <c r="A391" s="3"/>
      <c r="B391" s="3"/>
      <c r="C391" s="2"/>
      <c r="D391" s="3"/>
      <c r="E391" s="3"/>
      <c r="F391" s="3"/>
      <c r="G391" s="3"/>
      <c r="H391" s="3"/>
      <c r="I391" s="2"/>
      <c r="J391" s="2"/>
      <c r="K391" s="31"/>
      <c r="L391" s="31"/>
    </row>
    <row r="392" spans="1:12" x14ac:dyDescent="0.3">
      <c r="A392" s="3"/>
      <c r="B392" s="3"/>
      <c r="C392" s="2"/>
      <c r="D392" s="3"/>
      <c r="E392" s="3"/>
      <c r="F392" s="3"/>
      <c r="G392" s="3"/>
      <c r="H392" s="3"/>
      <c r="I392" s="2"/>
      <c r="J392" s="2"/>
      <c r="K392" s="31"/>
      <c r="L392" s="31"/>
    </row>
    <row r="393" spans="1:12" x14ac:dyDescent="0.3">
      <c r="A393" s="3"/>
      <c r="B393" s="3"/>
      <c r="C393" s="2"/>
      <c r="D393" s="3"/>
      <c r="E393" s="3"/>
      <c r="F393" s="3"/>
      <c r="G393" s="3"/>
      <c r="H393" s="3"/>
      <c r="I393" s="2"/>
      <c r="J393" s="2"/>
      <c r="K393" s="31"/>
      <c r="L393" s="31"/>
    </row>
    <row r="394" spans="1:12" x14ac:dyDescent="0.3">
      <c r="A394" s="3"/>
      <c r="B394" s="3"/>
      <c r="C394" s="2"/>
      <c r="D394" s="3"/>
      <c r="E394" s="3"/>
      <c r="F394" s="3"/>
      <c r="G394" s="3"/>
      <c r="H394" s="3"/>
      <c r="I394" s="2"/>
      <c r="J394" s="2"/>
      <c r="K394" s="31"/>
      <c r="L394" s="31"/>
    </row>
    <row r="395" spans="1:12" x14ac:dyDescent="0.3">
      <c r="A395" s="3"/>
      <c r="B395" s="3"/>
      <c r="C395" s="2"/>
      <c r="D395" s="3"/>
      <c r="E395" s="3"/>
      <c r="F395" s="3"/>
      <c r="G395" s="3"/>
      <c r="H395" s="3"/>
      <c r="I395" s="2"/>
      <c r="J395" s="2"/>
      <c r="K395" s="31"/>
      <c r="L395" s="31"/>
    </row>
    <row r="396" spans="1:12" x14ac:dyDescent="0.3">
      <c r="A396" s="3"/>
      <c r="B396" s="3"/>
      <c r="C396" s="2"/>
      <c r="D396" s="3"/>
      <c r="E396" s="3"/>
      <c r="F396" s="3"/>
      <c r="G396" s="3"/>
      <c r="H396" s="3"/>
      <c r="I396" s="2"/>
      <c r="J396" s="2"/>
      <c r="K396" s="31"/>
      <c r="L396" s="31"/>
    </row>
    <row r="397" spans="1:12" x14ac:dyDescent="0.3">
      <c r="A397" s="3"/>
      <c r="B397" s="3"/>
      <c r="C397" s="2"/>
      <c r="D397" s="3"/>
      <c r="E397" s="3"/>
      <c r="F397" s="3"/>
      <c r="G397" s="3"/>
      <c r="H397" s="3"/>
      <c r="I397" s="2"/>
      <c r="J397" s="2"/>
      <c r="K397" s="31"/>
      <c r="L397" s="31"/>
    </row>
    <row r="398" spans="1:12" x14ac:dyDescent="0.3">
      <c r="A398" s="3"/>
      <c r="B398" s="3"/>
      <c r="C398" s="2"/>
      <c r="D398" s="3"/>
      <c r="E398" s="3"/>
      <c r="F398" s="3"/>
      <c r="G398" s="3"/>
      <c r="H398" s="3"/>
      <c r="I398" s="2"/>
      <c r="J398" s="2"/>
      <c r="K398" s="31"/>
      <c r="L398" s="31"/>
    </row>
    <row r="399" spans="1:12" x14ac:dyDescent="0.3">
      <c r="A399" s="3"/>
      <c r="B399" s="3"/>
      <c r="C399" s="2"/>
      <c r="D399" s="3"/>
      <c r="E399" s="3"/>
      <c r="F399" s="3"/>
      <c r="G399" s="3"/>
      <c r="H399" s="3"/>
      <c r="I399" s="2"/>
      <c r="J399" s="2"/>
      <c r="K399" s="31"/>
      <c r="L399" s="31"/>
    </row>
    <row r="400" spans="1:12" x14ac:dyDescent="0.3">
      <c r="A400" s="3"/>
      <c r="B400" s="3"/>
      <c r="C400" s="2"/>
      <c r="D400" s="3"/>
      <c r="E400" s="3"/>
      <c r="F400" s="3"/>
      <c r="G400" s="3"/>
      <c r="H400" s="3"/>
      <c r="I400" s="2"/>
      <c r="J400" s="2"/>
      <c r="K400" s="31"/>
      <c r="L400" s="31"/>
    </row>
    <row r="401" spans="1:12" x14ac:dyDescent="0.3">
      <c r="A401" s="3"/>
      <c r="B401" s="3"/>
      <c r="C401" s="2"/>
      <c r="D401" s="3"/>
      <c r="E401" s="3"/>
      <c r="F401" s="3"/>
      <c r="G401" s="3"/>
      <c r="H401" s="3"/>
      <c r="I401" s="2"/>
      <c r="J401" s="2"/>
      <c r="K401" s="31"/>
      <c r="L401" s="31"/>
    </row>
    <row r="402" spans="1:12" x14ac:dyDescent="0.3">
      <c r="A402" s="3"/>
      <c r="B402" s="3"/>
      <c r="C402" s="2"/>
      <c r="D402" s="3"/>
      <c r="E402" s="3"/>
      <c r="F402" s="3"/>
      <c r="G402" s="3"/>
      <c r="H402" s="3"/>
      <c r="I402" s="2"/>
      <c r="J402" s="2"/>
      <c r="K402" s="31"/>
      <c r="L402" s="31"/>
    </row>
    <row r="403" spans="1:12" x14ac:dyDescent="0.3">
      <c r="A403" s="3"/>
      <c r="B403" s="3"/>
      <c r="C403" s="2"/>
      <c r="D403" s="3"/>
      <c r="E403" s="3"/>
      <c r="F403" s="3"/>
      <c r="G403" s="3"/>
      <c r="H403" s="3"/>
      <c r="I403" s="2"/>
      <c r="J403" s="2"/>
      <c r="K403" s="31"/>
      <c r="L403" s="31"/>
    </row>
    <row r="404" spans="1:12" x14ac:dyDescent="0.3">
      <c r="A404" s="3"/>
      <c r="B404" s="3"/>
      <c r="C404" s="2"/>
      <c r="D404" s="3"/>
      <c r="E404" s="3"/>
      <c r="F404" s="3"/>
      <c r="G404" s="3"/>
      <c r="H404" s="3"/>
      <c r="I404" s="2"/>
      <c r="J404" s="2"/>
      <c r="K404" s="31"/>
      <c r="L404" s="31"/>
    </row>
    <row r="405" spans="1:12" x14ac:dyDescent="0.3">
      <c r="A405" s="3"/>
      <c r="B405" s="3"/>
      <c r="C405" s="2"/>
      <c r="D405" s="3"/>
      <c r="E405" s="3"/>
      <c r="F405" s="3"/>
      <c r="G405" s="3"/>
      <c r="H405" s="3"/>
      <c r="I405" s="2"/>
      <c r="J405" s="2"/>
      <c r="K405" s="31"/>
      <c r="L405" s="31"/>
    </row>
  </sheetData>
  <mergeCells count="32">
    <mergeCell ref="A4:L4"/>
    <mergeCell ref="A6:L6"/>
    <mergeCell ref="A7:L7"/>
    <mergeCell ref="G8:L8"/>
    <mergeCell ref="I9:L9"/>
    <mergeCell ref="G9:H9"/>
    <mergeCell ref="A5:E5"/>
    <mergeCell ref="A8:C8"/>
    <mergeCell ref="D8:F8"/>
    <mergeCell ref="A9:C9"/>
    <mergeCell ref="B160:D160"/>
    <mergeCell ref="L12:L13"/>
    <mergeCell ref="F5:L5"/>
    <mergeCell ref="A10:L10"/>
    <mergeCell ref="A11:L11"/>
    <mergeCell ref="H12:J12"/>
    <mergeCell ref="K12:K13"/>
    <mergeCell ref="D9:F9"/>
    <mergeCell ref="A12:A13"/>
    <mergeCell ref="B12:B13"/>
    <mergeCell ref="D12:D13"/>
    <mergeCell ref="C12:C13"/>
    <mergeCell ref="E12:G12"/>
    <mergeCell ref="E107:L107"/>
    <mergeCell ref="E154:L154"/>
    <mergeCell ref="E160:L160"/>
    <mergeCell ref="B174:D174"/>
    <mergeCell ref="B187:D187"/>
    <mergeCell ref="B194:D194"/>
    <mergeCell ref="E174:L174"/>
    <mergeCell ref="E187:L187"/>
    <mergeCell ref="E194:L194"/>
  </mergeCells>
  <phoneticPr fontId="12" type="noConversion"/>
  <printOptions horizontalCentered="1"/>
  <pageMargins left="0.39370078740157483" right="0.39370078740157483" top="0.39370078740157483" bottom="0.39370078740157483" header="0" footer="0"/>
  <pageSetup paperSize="8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6A5F217236FD41952DC06BFF9D54D7" ma:contentTypeVersion="21" ma:contentTypeDescription="Crie um novo documento." ma:contentTypeScope="" ma:versionID="36ab9e24671e10dcf41e3dfd0ee7e945">
  <xsd:schema xmlns:xsd="http://www.w3.org/2001/XMLSchema" xmlns:xs="http://www.w3.org/2001/XMLSchema" xmlns:p="http://schemas.microsoft.com/office/2006/metadata/properties" xmlns:ns2="7d8be6fd-d823-473b-a780-84184c451060" xmlns:ns3="304d77fb-a4e2-44b3-8573-a0d215f26cda" targetNamespace="http://schemas.microsoft.com/office/2006/metadata/properties" ma:root="true" ma:fieldsID="a7d3efa47c50f3a9daa3baa638bbd0c2" ns2:_="" ns3:_="">
    <xsd:import namespace="7d8be6fd-d823-473b-a780-84184c451060"/>
    <xsd:import namespace="304d77fb-a4e2-44b3-8573-a0d215f26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spons_x00e1_vel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be6fd-d823-473b-a780-84184c451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8809f0-f3f0-4671-b020-d41f17bb4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pons_x00e1_vel" ma:index="26" nillable="true" ma:displayName="Responsável" ma:format="Dropdown" ma:list="UserInfo" ma:SharePointGroup="0" ma:internalName="Respons_x00e1_ve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nk" ma:index="27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d77fb-a4e2-44b3-8573-a0d215f26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436c4a-ef69-4241-b5c4-5a70c7905de2}" ma:internalName="TaxCatchAll" ma:showField="CatchAllData" ma:web="304d77fb-a4e2-44b3-8573-a0d215f26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4d77fb-a4e2-44b3-8573-a0d215f26cda" xsi:nil="true"/>
    <lcf76f155ced4ddcb4097134ff3c332f xmlns="7d8be6fd-d823-473b-a780-84184c451060">
      <Terms xmlns="http://schemas.microsoft.com/office/infopath/2007/PartnerControls"/>
    </lcf76f155ced4ddcb4097134ff3c332f>
    <Link xmlns="7d8be6fd-d823-473b-a780-84184c451060">
      <Url xsi:nil="true"/>
      <Description xsi:nil="true"/>
    </Link>
    <Respons_x00e1_vel xmlns="7d8be6fd-d823-473b-a780-84184c451060">
      <UserInfo>
        <DisplayName/>
        <AccountId xsi:nil="true"/>
        <AccountType/>
      </UserInfo>
    </Respons_x00e1_ve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FEA9AC-D9CB-4953-8344-F05B444E9E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8be6fd-d823-473b-a780-84184c451060"/>
    <ds:schemaRef ds:uri="304d77fb-a4e2-44b3-8573-a0d215f26c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E03832-FAEA-485F-A3E3-54F26C08CB2C}">
  <ds:schemaRefs>
    <ds:schemaRef ds:uri="http://schemas.microsoft.com/office/2006/metadata/properties"/>
    <ds:schemaRef ds:uri="http://schemas.microsoft.com/office/infopath/2007/PartnerControls"/>
    <ds:schemaRef ds:uri="304d77fb-a4e2-44b3-8573-a0d215f26cda"/>
    <ds:schemaRef ds:uri="7d8be6fd-d823-473b-a780-84184c451060"/>
  </ds:schemaRefs>
</ds:datastoreItem>
</file>

<file path=customXml/itemProps3.xml><?xml version="1.0" encoding="utf-8"?>
<ds:datastoreItem xmlns:ds="http://schemas.openxmlformats.org/officeDocument/2006/customXml" ds:itemID="{1088D3CF-321B-4994-AB19-A3C40373E3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</vt:lpstr>
      <vt:lpstr>ORC!Area_de_impressao</vt:lpstr>
      <vt:lpstr>ORC!Titulos_de_impressao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HELIO PAIVA JR</dc:creator>
  <cp:lastModifiedBy>Lívia Prazim</cp:lastModifiedBy>
  <cp:lastPrinted>2023-09-29T17:24:13Z</cp:lastPrinted>
  <dcterms:created xsi:type="dcterms:W3CDTF">2019-08-21T01:54:30Z</dcterms:created>
  <dcterms:modified xsi:type="dcterms:W3CDTF">2025-07-31T20:46:43Z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0x010100586A5F217236FD41952DC06BFF9D54D7</vt:lpwstr>
  </property>
  <property fmtid="{D5CDD505-2E9C-101B-9397-08002B2CF9AE}" pid="3" name="MediaServiceImageTags">
    <vt:lpwstr/>
  </property>
</Properties>
</file>