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TOS\301_Esplanada Liberdade\PB\RECEBIDOS\2023.09.28_Plano de Negócios e BP\"/>
    </mc:Choice>
  </mc:AlternateContent>
  <xr:revisionPtr revIDLastSave="0" documentId="13_ncr:1_{EC4A0BA5-D124-456E-A4D9-831A2131725F}" xr6:coauthVersionLast="47" xr6:coauthVersionMax="47" xr10:uidLastSave="{00000000-0000-0000-0000-000000000000}"/>
  <bookViews>
    <workbookView xWindow="28680" yWindow="-120" windowWidth="29040" windowHeight="15720" tabRatio="775" firstSheet="1" activeTab="1" xr2:uid="{F99AD532-D9E9-464B-BB24-1A687B8F29C0}"/>
  </bookViews>
  <sheets>
    <sheet name="Resumo Áreas" sheetId="35" r:id="rId1"/>
    <sheet name="Receitas por categoria" sheetId="32" r:id="rId2"/>
    <sheet name="Receitas e Performance" sheetId="31" r:id="rId3"/>
    <sheet name="CAPEX Cronograma" sheetId="48" r:id="rId4"/>
    <sheet name="Contraprestação" sheetId="49" r:id="rId5"/>
    <sheet name="DRE e Fluxo de caixa" sheetId="33" r:id="rId6"/>
  </sheets>
  <definedNames>
    <definedName name="AbrDom1">DATE(AnoDoCalendário,4,1)-WEEKDAY(DATE(AnoDoCalendário,4,1))</definedName>
    <definedName name="AgoDom1">DATE(AnoDoCalendário,8,1)-WEEKDAY(DATE(AnoDoCalendário,8,1))</definedName>
    <definedName name="AnoDoCalendário">#REF!</definedName>
    <definedName name="DezDom1">DATE(AnoDoCalendário,12,1)-WEEKDAY(DATE(AnoDoCalendário,12,1))</definedName>
    <definedName name="FevDom1">DATE(AnoDoCalendário,2,1)-WEEKDAY(DATE(AnoDoCalendário,2,1))</definedName>
    <definedName name="Início_Padrão">#REF!</definedName>
    <definedName name="JanDom1">DATE(AnoDoCalendário,1,1)-WEEKDAY(DATE(AnoDoCalendário,1,1))</definedName>
    <definedName name="JulDom1">DATE(AnoDoCalendário,7,1)-WEEKDAY(DATE(AnoDoCalendário,7,1))</definedName>
    <definedName name="JunDom1">DATE(AnoDoCalendário,6,1)-WEEKDAY(DATE(AnoDoCalendário,6,1))</definedName>
    <definedName name="MaiDom1">DATE(AnoDoCalendário,5,1)-WEEKDAY(DATE(AnoDoCalendário,5,1))</definedName>
    <definedName name="MarDom1">DATE(AnoDoCalendário,3,1)-WEEKDAY(DATE(AnoDoCalendário,3,1))</definedName>
    <definedName name="NovDom1">DATE(AnoDoCalendário,11,1)-WEEKDAY(DATE(AnoDoCalendário,11,1))</definedName>
    <definedName name="OutDom1">DATE(AnoDoCalendário,10,1)-WEEKDAY(DATE(AnoDoCalendário,10,1))</definedName>
    <definedName name="SetDom1">DATE(AnoDoCalendário,9,1)-WEEKDAY(DATE(AnoDoCalendário,9,1))</definedName>
    <definedName name="Turno_Padrão">#REF!</definedName>
    <definedName name="Turno1_Código">#REF!</definedName>
    <definedName name="Turno2_Código">#REF!</definedName>
    <definedName name="Turno3_Códig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9" l="1"/>
  <c r="D30" i="32"/>
  <c r="K4" i="49" l="1"/>
  <c r="K12" i="33"/>
  <c r="J12" i="33"/>
  <c r="L4" i="49" l="1"/>
  <c r="C8" i="32"/>
  <c r="M10" i="31"/>
  <c r="N10" i="31" s="1"/>
  <c r="O10" i="31" s="1"/>
  <c r="P10" i="31" s="1"/>
  <c r="Q10" i="31" s="1"/>
  <c r="R10" i="31" s="1"/>
  <c r="S10" i="31" s="1"/>
  <c r="T10" i="31" s="1"/>
  <c r="U10" i="31" s="1"/>
  <c r="V10" i="31" s="1"/>
  <c r="W10" i="31" s="1"/>
  <c r="X10" i="31" s="1"/>
  <c r="Y10" i="31" s="1"/>
  <c r="Z10" i="31" s="1"/>
  <c r="AA10" i="31" s="1"/>
  <c r="AB10" i="31" s="1"/>
  <c r="AC10" i="31" s="1"/>
  <c r="AD10" i="31" s="1"/>
  <c r="AE10" i="31" s="1"/>
  <c r="AF10" i="31" s="1"/>
  <c r="AG10" i="31" s="1"/>
  <c r="AH10" i="31" s="1"/>
  <c r="M8" i="31"/>
  <c r="N8" i="31" s="1"/>
  <c r="O8" i="31" s="1"/>
  <c r="P8" i="31" s="1"/>
  <c r="Q8" i="31" s="1"/>
  <c r="R8" i="31" s="1"/>
  <c r="S8" i="31" s="1"/>
  <c r="T8" i="31" s="1"/>
  <c r="U8" i="31" s="1"/>
  <c r="V8" i="31" s="1"/>
  <c r="W8" i="31" s="1"/>
  <c r="X8" i="31" s="1"/>
  <c r="Y8" i="31" s="1"/>
  <c r="Z8" i="31" s="1"/>
  <c r="AA8" i="31" s="1"/>
  <c r="AB8" i="31" s="1"/>
  <c r="AC8" i="31" s="1"/>
  <c r="AD8" i="31" s="1"/>
  <c r="AE8" i="31" s="1"/>
  <c r="AF8" i="31" s="1"/>
  <c r="AG8" i="31" s="1"/>
  <c r="AH8" i="31" s="1"/>
  <c r="M4" i="49" l="1"/>
  <c r="F4" i="48"/>
  <c r="G4" i="48" s="1"/>
  <c r="G24" i="33" s="1"/>
  <c r="L12" i="33"/>
  <c r="M12" i="33" s="1"/>
  <c r="N4" i="49" l="1"/>
  <c r="N12" i="33"/>
  <c r="O12" i="33" s="1"/>
  <c r="P12" i="33" s="1"/>
  <c r="Q12" i="33" s="1"/>
  <c r="R12" i="33" s="1"/>
  <c r="S12" i="33" s="1"/>
  <c r="T12" i="33" s="1"/>
  <c r="U12" i="33" s="1"/>
  <c r="V12" i="33" s="1"/>
  <c r="W12" i="33" s="1"/>
  <c r="X12" i="33" s="1"/>
  <c r="Y12" i="33" s="1"/>
  <c r="Z12" i="33" s="1"/>
  <c r="AA12" i="33" s="1"/>
  <c r="AB12" i="33" s="1"/>
  <c r="AC12" i="33" s="1"/>
  <c r="AD12" i="33" s="1"/>
  <c r="AE12" i="33" s="1"/>
  <c r="AF12" i="33" s="1"/>
  <c r="AG12" i="33" s="1"/>
  <c r="AH12" i="33" s="1"/>
  <c r="AI12" i="33" s="1"/>
  <c r="AJ12" i="33" s="1"/>
  <c r="I4" i="48"/>
  <c r="I24" i="33" s="1"/>
  <c r="H4" i="48"/>
  <c r="H24" i="33" s="1"/>
  <c r="O4" i="49" l="1"/>
  <c r="F13" i="31"/>
  <c r="G13" i="31"/>
  <c r="J13" i="31"/>
  <c r="I13" i="31"/>
  <c r="H13" i="31"/>
  <c r="K14" i="31"/>
  <c r="L14" i="31" s="1"/>
  <c r="L13" i="31" s="1"/>
  <c r="E13" i="31"/>
  <c r="E40" i="32"/>
  <c r="P4" i="49" l="1"/>
  <c r="K13" i="31"/>
  <c r="M14" i="31"/>
  <c r="M13" i="31" s="1"/>
  <c r="F25" i="32"/>
  <c r="F24" i="32"/>
  <c r="F23" i="32"/>
  <c r="D29" i="32"/>
  <c r="G8" i="35"/>
  <c r="E38" i="32"/>
  <c r="E39" i="32"/>
  <c r="E37" i="32"/>
  <c r="G14" i="35"/>
  <c r="C8" i="35"/>
  <c r="E4" i="35"/>
  <c r="E8" i="35" s="1"/>
  <c r="C4" i="35"/>
  <c r="Q4" i="49" l="1"/>
  <c r="E41" i="32"/>
  <c r="N14" i="31"/>
  <c r="N13" i="31" s="1"/>
  <c r="G13" i="35"/>
  <c r="K21" i="31"/>
  <c r="E20" i="31"/>
  <c r="R4" i="49" l="1"/>
  <c r="O14" i="31"/>
  <c r="O13" i="31" s="1"/>
  <c r="I20" i="31"/>
  <c r="G20" i="31"/>
  <c r="H20" i="31"/>
  <c r="F20" i="31"/>
  <c r="K20" i="31"/>
  <c r="J20" i="31"/>
  <c r="L21" i="31"/>
  <c r="L20" i="31" s="1"/>
  <c r="J59" i="33"/>
  <c r="K59" i="33"/>
  <c r="L59" i="33"/>
  <c r="M59" i="33"/>
  <c r="N59" i="33"/>
  <c r="O59" i="33"/>
  <c r="P59" i="33"/>
  <c r="Q59" i="33"/>
  <c r="R59" i="33"/>
  <c r="S59" i="33"/>
  <c r="T59" i="33"/>
  <c r="U59" i="33"/>
  <c r="V59" i="33"/>
  <c r="W59" i="33"/>
  <c r="X59" i="33"/>
  <c r="Y59" i="33"/>
  <c r="Z59" i="33"/>
  <c r="AA59" i="33"/>
  <c r="AB59" i="33"/>
  <c r="AC59" i="33"/>
  <c r="AD59" i="33"/>
  <c r="AE59" i="33"/>
  <c r="AF59" i="33"/>
  <c r="AG59" i="33"/>
  <c r="AH59" i="33"/>
  <c r="AI59" i="33"/>
  <c r="AJ59" i="33"/>
  <c r="F18" i="31"/>
  <c r="G18" i="31"/>
  <c r="H18" i="31"/>
  <c r="I18" i="31"/>
  <c r="E18" i="31"/>
  <c r="J11" i="31"/>
  <c r="I11" i="31"/>
  <c r="H11" i="31"/>
  <c r="G11" i="31"/>
  <c r="F11" i="31"/>
  <c r="J9" i="31"/>
  <c r="I9" i="31"/>
  <c r="H9" i="31"/>
  <c r="G9" i="31"/>
  <c r="F9" i="31"/>
  <c r="E11" i="31"/>
  <c r="E9" i="31"/>
  <c r="J7" i="31"/>
  <c r="I7" i="31"/>
  <c r="H7" i="31"/>
  <c r="G7" i="31"/>
  <c r="F7" i="31"/>
  <c r="E7" i="31"/>
  <c r="S4" i="49" l="1"/>
  <c r="I6" i="31"/>
  <c r="J6" i="31"/>
  <c r="E6" i="31"/>
  <c r="G6" i="31"/>
  <c r="F6" i="31"/>
  <c r="H6" i="31"/>
  <c r="P14" i="31"/>
  <c r="P13" i="31" s="1"/>
  <c r="I59" i="33"/>
  <c r="M21" i="31"/>
  <c r="M20" i="31" s="1"/>
  <c r="G59" i="33"/>
  <c r="H59" i="33"/>
  <c r="T4" i="49" l="1"/>
  <c r="Q14" i="31"/>
  <c r="Q13" i="31" s="1"/>
  <c r="N21" i="31"/>
  <c r="N20" i="31" s="1"/>
  <c r="G66" i="33"/>
  <c r="G16" i="33" s="1"/>
  <c r="G60" i="33"/>
  <c r="AK59" i="33"/>
  <c r="U4" i="49" l="1"/>
  <c r="R14" i="31"/>
  <c r="R13" i="31" s="1"/>
  <c r="G22" i="33"/>
  <c r="O21" i="31"/>
  <c r="O20" i="31" s="1"/>
  <c r="G67" i="33"/>
  <c r="H66" i="33"/>
  <c r="H60" i="33"/>
  <c r="V4" i="49" l="1"/>
  <c r="S14" i="31"/>
  <c r="S13" i="31" s="1"/>
  <c r="H16" i="33"/>
  <c r="H22" i="33" s="1"/>
  <c r="P21" i="31"/>
  <c r="P20" i="31" s="1"/>
  <c r="H67" i="33"/>
  <c r="I60" i="33"/>
  <c r="W4" i="49" l="1"/>
  <c r="T14" i="31"/>
  <c r="T13" i="31" s="1"/>
  <c r="Q21" i="31"/>
  <c r="Q20" i="31" s="1"/>
  <c r="I66" i="33"/>
  <c r="I16" i="33" s="1"/>
  <c r="J60" i="33"/>
  <c r="J61" i="33" s="1"/>
  <c r="X4" i="49" l="1"/>
  <c r="U14" i="31"/>
  <c r="U13" i="31" s="1"/>
  <c r="I22" i="33"/>
  <c r="R21" i="31"/>
  <c r="R20" i="31" s="1"/>
  <c r="K61" i="33"/>
  <c r="J66" i="33"/>
  <c r="I67" i="33"/>
  <c r="K60" i="33"/>
  <c r="Y4" i="49" l="1"/>
  <c r="V14" i="31"/>
  <c r="V13" i="31" s="1"/>
  <c r="J16" i="33"/>
  <c r="J22" i="33" s="1"/>
  <c r="S21" i="31"/>
  <c r="S20" i="31" s="1"/>
  <c r="L61" i="33"/>
  <c r="K66" i="33"/>
  <c r="J67" i="33"/>
  <c r="L60" i="33"/>
  <c r="Z4" i="49" l="1"/>
  <c r="W14" i="31"/>
  <c r="W13" i="31" s="1"/>
  <c r="K16" i="33"/>
  <c r="K22" i="33" s="1"/>
  <c r="T21" i="31"/>
  <c r="T20" i="31" s="1"/>
  <c r="M61" i="33"/>
  <c r="L66" i="33"/>
  <c r="K67" i="33"/>
  <c r="M60" i="33"/>
  <c r="AA4" i="49" l="1"/>
  <c r="X14" i="31"/>
  <c r="X13" i="31" s="1"/>
  <c r="L16" i="33"/>
  <c r="U21" i="31"/>
  <c r="U20" i="31" s="1"/>
  <c r="L67" i="33"/>
  <c r="M66" i="33"/>
  <c r="N61" i="33"/>
  <c r="N60" i="33"/>
  <c r="AB4" i="49" l="1"/>
  <c r="Y14" i="31"/>
  <c r="Y13" i="31" s="1"/>
  <c r="M16" i="33"/>
  <c r="M22" i="33" s="1"/>
  <c r="L22" i="33"/>
  <c r="V21" i="31"/>
  <c r="V20" i="31" s="1"/>
  <c r="N66" i="33"/>
  <c r="O61" i="33"/>
  <c r="M67" i="33"/>
  <c r="O60" i="33"/>
  <c r="AC4" i="49" l="1"/>
  <c r="Z14" i="31"/>
  <c r="Z13" i="31" s="1"/>
  <c r="N16" i="33"/>
  <c r="N22" i="33" s="1"/>
  <c r="W21" i="31"/>
  <c r="W20" i="31" s="1"/>
  <c r="N67" i="33"/>
  <c r="O66" i="33"/>
  <c r="P61" i="33"/>
  <c r="P60" i="33"/>
  <c r="AD4" i="49" l="1"/>
  <c r="AA14" i="31"/>
  <c r="AA13" i="31" s="1"/>
  <c r="O16" i="33"/>
  <c r="O22" i="33" s="1"/>
  <c r="X21" i="31"/>
  <c r="X20" i="31" s="1"/>
  <c r="Q61" i="33"/>
  <c r="P66" i="33"/>
  <c r="O67" i="33"/>
  <c r="Q60" i="33"/>
  <c r="AE4" i="49" l="1"/>
  <c r="AB14" i="31"/>
  <c r="AB13" i="31" s="1"/>
  <c r="P16" i="33"/>
  <c r="P22" i="33" s="1"/>
  <c r="Y21" i="31"/>
  <c r="Y20" i="31" s="1"/>
  <c r="P67" i="33"/>
  <c r="R61" i="33"/>
  <c r="Q66" i="33"/>
  <c r="R60" i="33"/>
  <c r="AF4" i="49" l="1"/>
  <c r="AC14" i="31"/>
  <c r="AC13" i="31" s="1"/>
  <c r="Q16" i="33"/>
  <c r="Q22" i="33" s="1"/>
  <c r="Z21" i="31"/>
  <c r="Z20" i="31" s="1"/>
  <c r="R66" i="33"/>
  <c r="S61" i="33"/>
  <c r="Q67" i="33"/>
  <c r="S60" i="33"/>
  <c r="AG4" i="49" l="1"/>
  <c r="AD14" i="31"/>
  <c r="AD13" i="31" s="1"/>
  <c r="R16" i="33"/>
  <c r="R22" i="33" s="1"/>
  <c r="AA21" i="31"/>
  <c r="AA20" i="31" s="1"/>
  <c r="R67" i="33"/>
  <c r="T61" i="33"/>
  <c r="S66" i="33"/>
  <c r="T60" i="33"/>
  <c r="AH4" i="49" l="1"/>
  <c r="AE14" i="31"/>
  <c r="AE13" i="31" s="1"/>
  <c r="S16" i="33"/>
  <c r="S22" i="33" s="1"/>
  <c r="AB21" i="31"/>
  <c r="AB20" i="31" s="1"/>
  <c r="T66" i="33"/>
  <c r="U61" i="33"/>
  <c r="S67" i="33"/>
  <c r="U60" i="33"/>
  <c r="AI4" i="49" l="1"/>
  <c r="AF14" i="31"/>
  <c r="T16" i="33"/>
  <c r="T22" i="33" s="1"/>
  <c r="AC21" i="31"/>
  <c r="AC20" i="31" s="1"/>
  <c r="T67" i="33"/>
  <c r="U66" i="33"/>
  <c r="V61" i="33"/>
  <c r="V60" i="33"/>
  <c r="AG14" i="31" l="1"/>
  <c r="AF13" i="31"/>
  <c r="U16" i="33"/>
  <c r="U22" i="33" s="1"/>
  <c r="AD21" i="31"/>
  <c r="AD20" i="31" s="1"/>
  <c r="U67" i="33"/>
  <c r="W61" i="33"/>
  <c r="V66" i="33"/>
  <c r="W60" i="33"/>
  <c r="AH14" i="31" l="1"/>
  <c r="AH13" i="31" s="1"/>
  <c r="AG13" i="31"/>
  <c r="V16" i="33"/>
  <c r="V22" i="33" s="1"/>
  <c r="AE21" i="31"/>
  <c r="AE20" i="31" s="1"/>
  <c r="X61" i="33"/>
  <c r="W66" i="33"/>
  <c r="V67" i="33"/>
  <c r="X60" i="33"/>
  <c r="W16" i="33" l="1"/>
  <c r="W22" i="33" s="1"/>
  <c r="W67" i="33"/>
  <c r="AF21" i="31"/>
  <c r="AF20" i="31" s="1"/>
  <c r="X66" i="33"/>
  <c r="X16" i="33" s="1"/>
  <c r="Y61" i="33"/>
  <c r="Y60" i="33"/>
  <c r="X67" i="33" l="1"/>
  <c r="X22" i="33"/>
  <c r="AG21" i="31"/>
  <c r="AG20" i="31" s="1"/>
  <c r="Y66" i="33"/>
  <c r="Z61" i="33"/>
  <c r="Z60" i="33"/>
  <c r="Y16" i="33" l="1"/>
  <c r="Y22" i="33" s="1"/>
  <c r="AH21" i="31"/>
  <c r="AH20" i="31" s="1"/>
  <c r="AA61" i="33"/>
  <c r="Z66" i="33"/>
  <c r="Y67" i="33"/>
  <c r="AA60" i="33"/>
  <c r="Z16" i="33" l="1"/>
  <c r="Z22" i="33" s="1"/>
  <c r="Z67" i="33"/>
  <c r="AA66" i="33"/>
  <c r="AB61" i="33"/>
  <c r="AB60" i="33"/>
  <c r="AA16" i="33" l="1"/>
  <c r="AA22" i="33" s="1"/>
  <c r="AB66" i="33"/>
  <c r="AC61" i="33"/>
  <c r="AA67" i="33"/>
  <c r="AC60" i="33"/>
  <c r="AB16" i="33" l="1"/>
  <c r="AB22" i="33" s="1"/>
  <c r="AB67" i="33"/>
  <c r="AD61" i="33"/>
  <c r="AC66" i="33"/>
  <c r="AD60" i="33"/>
  <c r="AC16" i="33" l="1"/>
  <c r="AC22" i="33" s="1"/>
  <c r="AC67" i="33"/>
  <c r="AE61" i="33"/>
  <c r="AD66" i="33"/>
  <c r="AE60" i="33"/>
  <c r="AD16" i="33" l="1"/>
  <c r="AD22" i="33" s="1"/>
  <c r="AF61" i="33"/>
  <c r="AE66" i="33"/>
  <c r="AD67" i="33"/>
  <c r="AF60" i="33"/>
  <c r="AE16" i="33" l="1"/>
  <c r="AE22" i="33" s="1"/>
  <c r="AE67" i="33"/>
  <c r="AG61" i="33"/>
  <c r="AF66" i="33"/>
  <c r="AG60" i="33"/>
  <c r="AF16" i="33" l="1"/>
  <c r="AF22" i="33" s="1"/>
  <c r="AH61" i="33"/>
  <c r="AG66" i="33"/>
  <c r="AF67" i="33"/>
  <c r="AH60" i="33"/>
  <c r="AG16" i="33" l="1"/>
  <c r="AG22" i="33" s="1"/>
  <c r="AG67" i="33"/>
  <c r="AI61" i="33"/>
  <c r="AH66" i="33"/>
  <c r="AI60" i="33"/>
  <c r="AH16" i="33" l="1"/>
  <c r="AH22" i="33" s="1"/>
  <c r="AH67" i="33"/>
  <c r="AI66" i="33"/>
  <c r="AJ61" i="33"/>
  <c r="AJ60" i="33"/>
  <c r="AI16" i="33" l="1"/>
  <c r="AI22" i="33" s="1"/>
  <c r="AI67" i="33"/>
  <c r="AJ66" i="33"/>
  <c r="AJ16" i="33" s="1"/>
  <c r="AJ67" i="33" l="1"/>
  <c r="AJ22" i="33"/>
  <c r="AK61" i="33" l="1"/>
  <c r="AK66" i="33"/>
  <c r="K26" i="31"/>
  <c r="L26" i="31" s="1"/>
  <c r="M26" i="31" s="1"/>
  <c r="N26" i="31" s="1"/>
  <c r="O26" i="31" s="1"/>
  <c r="P26" i="31" s="1"/>
  <c r="Q26" i="31" s="1"/>
  <c r="R26" i="31" s="1"/>
  <c r="S26" i="31" s="1"/>
  <c r="T26" i="31" s="1"/>
  <c r="U26" i="31" s="1"/>
  <c r="V26" i="31" s="1"/>
  <c r="W26" i="31" s="1"/>
  <c r="X26" i="31" s="1"/>
  <c r="Y26" i="31" s="1"/>
  <c r="Z26" i="31" s="1"/>
  <c r="AA26" i="31" s="1"/>
  <c r="AB26" i="31" s="1"/>
  <c r="AC26" i="31" s="1"/>
  <c r="AD26" i="31" s="1"/>
  <c r="AE26" i="31" s="1"/>
  <c r="AF26" i="31" s="1"/>
  <c r="AG26" i="31" s="1"/>
  <c r="AH26" i="31" s="1"/>
  <c r="K19" i="31" l="1"/>
  <c r="J18" i="31"/>
  <c r="K7" i="31"/>
  <c r="K12" i="31"/>
  <c r="L12" i="31" l="1"/>
  <c r="K11" i="31"/>
  <c r="L19" i="31"/>
  <c r="K18" i="31"/>
  <c r="L7" i="31"/>
  <c r="K9" i="31"/>
  <c r="K6" i="31" l="1"/>
  <c r="M19" i="31"/>
  <c r="L18" i="31"/>
  <c r="M12" i="31"/>
  <c r="L11" i="31"/>
  <c r="M7" i="31"/>
  <c r="L9" i="31"/>
  <c r="L6" i="31" l="1"/>
  <c r="M11" i="31"/>
  <c r="N12" i="31"/>
  <c r="N19" i="31"/>
  <c r="M18" i="31"/>
  <c r="M9" i="31"/>
  <c r="N7" i="31"/>
  <c r="K23" i="31"/>
  <c r="M6" i="31" l="1"/>
  <c r="O19" i="31"/>
  <c r="N18" i="31"/>
  <c r="N11" i="31"/>
  <c r="O12" i="31"/>
  <c r="N9" i="31"/>
  <c r="O7" i="31"/>
  <c r="L23" i="31"/>
  <c r="N6" i="31" l="1"/>
  <c r="O11" i="31"/>
  <c r="P12" i="31"/>
  <c r="P19" i="31"/>
  <c r="O18" i="31"/>
  <c r="O9" i="31"/>
  <c r="P7" i="31"/>
  <c r="M23" i="31"/>
  <c r="O6" i="31" l="1"/>
  <c r="Q19" i="31"/>
  <c r="P18" i="31"/>
  <c r="P11" i="31"/>
  <c r="Q12" i="31"/>
  <c r="P9" i="31"/>
  <c r="Q7" i="31"/>
  <c r="N23" i="31"/>
  <c r="P6" i="31" l="1"/>
  <c r="Q11" i="31"/>
  <c r="R12" i="31"/>
  <c r="R19" i="31"/>
  <c r="Q18" i="31"/>
  <c r="Q9" i="31"/>
  <c r="R7" i="31"/>
  <c r="O23" i="31"/>
  <c r="Q6" i="31" l="1"/>
  <c r="S19" i="31"/>
  <c r="R18" i="31"/>
  <c r="R11" i="31"/>
  <c r="S12" i="31"/>
  <c r="S7" i="31"/>
  <c r="R9" i="31"/>
  <c r="R6" i="31" s="1"/>
  <c r="P23" i="31"/>
  <c r="S11" i="31" l="1"/>
  <c r="T12" i="31"/>
  <c r="T19" i="31"/>
  <c r="S18" i="31"/>
  <c r="S9" i="31"/>
  <c r="T7" i="31"/>
  <c r="Q23" i="31"/>
  <c r="S6" i="31" l="1"/>
  <c r="U19" i="31"/>
  <c r="T18" i="31"/>
  <c r="T11" i="31"/>
  <c r="U12" i="31"/>
  <c r="U7" i="31"/>
  <c r="T9" i="31"/>
  <c r="R23" i="31"/>
  <c r="T6" i="31" l="1"/>
  <c r="U11" i="31"/>
  <c r="V12" i="31"/>
  <c r="V19" i="31"/>
  <c r="U18" i="31"/>
  <c r="U9" i="31"/>
  <c r="V7" i="31"/>
  <c r="S23" i="31"/>
  <c r="U6" i="31" l="1"/>
  <c r="W19" i="31"/>
  <c r="V18" i="31"/>
  <c r="V11" i="31"/>
  <c r="W12" i="31"/>
  <c r="W7" i="31"/>
  <c r="V9" i="31"/>
  <c r="T23" i="31"/>
  <c r="V6" i="31" l="1"/>
  <c r="W11" i="31"/>
  <c r="X12" i="31"/>
  <c r="X19" i="31"/>
  <c r="W18" i="31"/>
  <c r="W9" i="31"/>
  <c r="X7" i="31"/>
  <c r="U23" i="31"/>
  <c r="W6" i="31" l="1"/>
  <c r="Y19" i="31"/>
  <c r="X18" i="31"/>
  <c r="X11" i="31"/>
  <c r="Y12" i="31"/>
  <c r="Y7" i="31"/>
  <c r="X9" i="31"/>
  <c r="X6" i="31" s="1"/>
  <c r="V23" i="31"/>
  <c r="Y11" i="31" l="1"/>
  <c r="Z12" i="31"/>
  <c r="Z19" i="31"/>
  <c r="Y18" i="31"/>
  <c r="Y9" i="31"/>
  <c r="Y6" i="31" s="1"/>
  <c r="Z7" i="31"/>
  <c r="W23" i="31"/>
  <c r="AA19" i="31" l="1"/>
  <c r="Z18" i="31"/>
  <c r="Z11" i="31"/>
  <c r="AA12" i="31"/>
  <c r="AA7" i="31"/>
  <c r="Z9" i="31"/>
  <c r="Z6" i="31" s="1"/>
  <c r="X23" i="31"/>
  <c r="AA11" i="31" l="1"/>
  <c r="AB12" i="31"/>
  <c r="AB19" i="31"/>
  <c r="AA18" i="31"/>
  <c r="AB7" i="31"/>
  <c r="Y23" i="31"/>
  <c r="AA9" i="31" l="1"/>
  <c r="AA6" i="31" s="1"/>
  <c r="AC19" i="31"/>
  <c r="AB18" i="31"/>
  <c r="AB11" i="31"/>
  <c r="AC12" i="31"/>
  <c r="AB9" i="31"/>
  <c r="AC7" i="31"/>
  <c r="Z23" i="31"/>
  <c r="AB6" i="31" l="1"/>
  <c r="AC11" i="31"/>
  <c r="AD12" i="31"/>
  <c r="AD19" i="31"/>
  <c r="AC18" i="31"/>
  <c r="AD7" i="31"/>
  <c r="AC9" i="31"/>
  <c r="AA23" i="31"/>
  <c r="AC6" i="31" l="1"/>
  <c r="AE19" i="31"/>
  <c r="AD18" i="31"/>
  <c r="AD11" i="31"/>
  <c r="AE12" i="31"/>
  <c r="AD9" i="31"/>
  <c r="AE7" i="31"/>
  <c r="AB23" i="31"/>
  <c r="AD6" i="31" l="1"/>
  <c r="AE11" i="31"/>
  <c r="AF12" i="31"/>
  <c r="AG12" i="31" s="1"/>
  <c r="AH12" i="31" s="1"/>
  <c r="AF19" i="31"/>
  <c r="AE18" i="31"/>
  <c r="AE9" i="31"/>
  <c r="AC23" i="31"/>
  <c r="AE6" i="31" l="1"/>
  <c r="AF7" i="31"/>
  <c r="AG19" i="31"/>
  <c r="AF18" i="31"/>
  <c r="AF11" i="31"/>
  <c r="AG7" i="31"/>
  <c r="AF9" i="31"/>
  <c r="AD23" i="31"/>
  <c r="AF6" i="31" l="1"/>
  <c r="AG11" i="31"/>
  <c r="AH19" i="31"/>
  <c r="AG18" i="31"/>
  <c r="AH7" i="31"/>
  <c r="AG9" i="31"/>
  <c r="AE23" i="31"/>
  <c r="AG6" i="31" l="1"/>
  <c r="AH18" i="31"/>
  <c r="AH11" i="31"/>
  <c r="AH9" i="31"/>
  <c r="AF23" i="31"/>
  <c r="AH6" i="31" l="1"/>
  <c r="AG23" i="31"/>
  <c r="AH23" i="31" l="1"/>
  <c r="D27" i="32" l="1"/>
  <c r="C10" i="32"/>
  <c r="C9" i="32" s="1"/>
  <c r="C15" i="32" l="1"/>
  <c r="C16" i="32" s="1"/>
  <c r="C17" i="32" s="1"/>
  <c r="D31" i="32"/>
  <c r="J16" i="31"/>
  <c r="R16" i="31"/>
  <c r="Z16" i="31"/>
  <c r="AH16" i="31"/>
  <c r="E16" i="31"/>
  <c r="L16" i="31"/>
  <c r="AB16" i="31"/>
  <c r="G16" i="31"/>
  <c r="AE16" i="31"/>
  <c r="P16" i="31"/>
  <c r="I16" i="31"/>
  <c r="AG16" i="31"/>
  <c r="K16" i="31"/>
  <c r="S16" i="31"/>
  <c r="AA16" i="31"/>
  <c r="T16" i="31"/>
  <c r="W16" i="31"/>
  <c r="AF16" i="31"/>
  <c r="Y16" i="31"/>
  <c r="M16" i="31"/>
  <c r="U16" i="31"/>
  <c r="AC16" i="31"/>
  <c r="F16" i="31"/>
  <c r="N16" i="31"/>
  <c r="V16" i="31"/>
  <c r="AD16" i="31"/>
  <c r="O16" i="31"/>
  <c r="H16" i="31"/>
  <c r="X16" i="31"/>
  <c r="Q16" i="31"/>
  <c r="F22" i="31"/>
  <c r="N22" i="31"/>
  <c r="V22" i="31"/>
  <c r="AD22" i="31"/>
  <c r="P22" i="31"/>
  <c r="AF22" i="31"/>
  <c r="K22" i="31"/>
  <c r="E22" i="31"/>
  <c r="M22" i="31"/>
  <c r="G22" i="31"/>
  <c r="O22" i="31"/>
  <c r="W22" i="31"/>
  <c r="AE22" i="31"/>
  <c r="H22" i="31"/>
  <c r="X22" i="31"/>
  <c r="S22" i="31"/>
  <c r="T22" i="31"/>
  <c r="U22" i="31"/>
  <c r="I22" i="31"/>
  <c r="Q22" i="31"/>
  <c r="Y22" i="31"/>
  <c r="AG22" i="31"/>
  <c r="J22" i="31"/>
  <c r="R22" i="31"/>
  <c r="Z22" i="31"/>
  <c r="AH22" i="31"/>
  <c r="AA22" i="31"/>
  <c r="L22" i="31"/>
  <c r="AB22" i="31"/>
  <c r="AC22" i="31"/>
  <c r="AA15" i="31" l="1"/>
  <c r="E46" i="32"/>
  <c r="O15" i="31"/>
  <c r="U15" i="31"/>
  <c r="AB15" i="31"/>
  <c r="S15" i="31"/>
  <c r="N15" i="31"/>
  <c r="L15" i="31"/>
  <c r="AD15" i="31"/>
  <c r="Y15" i="31"/>
  <c r="K15" i="31"/>
  <c r="E15" i="31"/>
  <c r="V15" i="31"/>
  <c r="AF15" i="31"/>
  <c r="AG15" i="31"/>
  <c r="AH15" i="31"/>
  <c r="Q15" i="31"/>
  <c r="W15" i="31"/>
  <c r="I15" i="31"/>
  <c r="Z15" i="31"/>
  <c r="X15" i="31"/>
  <c r="F15" i="31"/>
  <c r="P15" i="31"/>
  <c r="R15" i="31"/>
  <c r="M15" i="31"/>
  <c r="H15" i="31"/>
  <c r="T15" i="31"/>
  <c r="AE15" i="31"/>
  <c r="J15" i="31"/>
  <c r="AC15" i="31"/>
  <c r="G15" i="31"/>
  <c r="I25" i="31"/>
  <c r="Q25" i="31"/>
  <c r="Y25" i="31"/>
  <c r="AG25" i="31"/>
  <c r="S25" i="31"/>
  <c r="N25" i="31"/>
  <c r="W25" i="31"/>
  <c r="H25" i="31"/>
  <c r="J8" i="33" s="1"/>
  <c r="J25" i="31"/>
  <c r="R25" i="31"/>
  <c r="Z25" i="31"/>
  <c r="AH25" i="31"/>
  <c r="K25" i="31"/>
  <c r="AA25" i="31"/>
  <c r="F25" i="31"/>
  <c r="AD25" i="31"/>
  <c r="G25" i="31"/>
  <c r="P25" i="31"/>
  <c r="X25" i="31"/>
  <c r="E25" i="31"/>
  <c r="L25" i="31"/>
  <c r="T25" i="31"/>
  <c r="AB25" i="31"/>
  <c r="M25" i="31"/>
  <c r="U25" i="31"/>
  <c r="AC25" i="31"/>
  <c r="V25" i="31"/>
  <c r="O25" i="31"/>
  <c r="AE25" i="31"/>
  <c r="AF25" i="31"/>
  <c r="X24" i="31" l="1"/>
  <c r="X5" i="31" s="1"/>
  <c r="Z5" i="33" s="1"/>
  <c r="Z14" i="33" s="1"/>
  <c r="Z8" i="33"/>
  <c r="U24" i="31"/>
  <c r="U5" i="31" s="1"/>
  <c r="W5" i="33" s="1"/>
  <c r="W14" i="33" s="1"/>
  <c r="W8" i="33"/>
  <c r="AF24" i="31"/>
  <c r="AF5" i="31" s="1"/>
  <c r="AH5" i="33" s="1"/>
  <c r="AH14" i="33" s="1"/>
  <c r="AH8" i="33"/>
  <c r="G24" i="31"/>
  <c r="G5" i="31" s="1"/>
  <c r="I5" i="33" s="1"/>
  <c r="I14" i="33" s="1"/>
  <c r="I8" i="33"/>
  <c r="Z24" i="31"/>
  <c r="Z5" i="31" s="1"/>
  <c r="AB5" i="33" s="1"/>
  <c r="AB14" i="33" s="1"/>
  <c r="AB8" i="33"/>
  <c r="Y24" i="31"/>
  <c r="Y5" i="31" s="1"/>
  <c r="AA5" i="33" s="1"/>
  <c r="AA14" i="33" s="1"/>
  <c r="AA8" i="33"/>
  <c r="AA24" i="31"/>
  <c r="AA5" i="31" s="1"/>
  <c r="AC5" i="33" s="1"/>
  <c r="AC14" i="33" s="1"/>
  <c r="AC8" i="33"/>
  <c r="M24" i="31"/>
  <c r="M5" i="31" s="1"/>
  <c r="O5" i="33" s="1"/>
  <c r="O14" i="33" s="1"/>
  <c r="O8" i="33"/>
  <c r="AE24" i="31"/>
  <c r="AE5" i="31" s="1"/>
  <c r="AG5" i="33" s="1"/>
  <c r="AG14" i="33" s="1"/>
  <c r="AG8" i="33"/>
  <c r="AB24" i="31"/>
  <c r="AB5" i="31" s="1"/>
  <c r="AD5" i="33" s="1"/>
  <c r="AD14" i="33" s="1"/>
  <c r="AD8" i="33"/>
  <c r="R24" i="31"/>
  <c r="R5" i="31" s="1"/>
  <c r="T5" i="33" s="1"/>
  <c r="T14" i="33" s="1"/>
  <c r="T8" i="33"/>
  <c r="Q24" i="31"/>
  <c r="Q5" i="31" s="1"/>
  <c r="S5" i="33" s="1"/>
  <c r="S14" i="33" s="1"/>
  <c r="S8" i="33"/>
  <c r="AC24" i="31"/>
  <c r="AC5" i="31" s="1"/>
  <c r="AE5" i="33" s="1"/>
  <c r="AE14" i="33" s="1"/>
  <c r="AE8" i="33"/>
  <c r="K24" i="31"/>
  <c r="K5" i="31" s="1"/>
  <c r="M5" i="33" s="1"/>
  <c r="M14" i="33" s="1"/>
  <c r="M8" i="33"/>
  <c r="AH24" i="31"/>
  <c r="AH5" i="31" s="1"/>
  <c r="AJ5" i="33" s="1"/>
  <c r="AJ14" i="33" s="1"/>
  <c r="AJ8" i="33"/>
  <c r="O24" i="31"/>
  <c r="O5" i="31" s="1"/>
  <c r="Q5" i="33" s="1"/>
  <c r="Q14" i="33" s="1"/>
  <c r="Q8" i="33"/>
  <c r="T24" i="31"/>
  <c r="T5" i="31" s="1"/>
  <c r="V5" i="33" s="1"/>
  <c r="V14" i="33" s="1"/>
  <c r="V8" i="33"/>
  <c r="AD24" i="31"/>
  <c r="AD5" i="31" s="1"/>
  <c r="AF5" i="33" s="1"/>
  <c r="AF14" i="33" s="1"/>
  <c r="AF8" i="33"/>
  <c r="J24" i="31"/>
  <c r="J5" i="31" s="1"/>
  <c r="L5" i="33" s="1"/>
  <c r="L14" i="33" s="1"/>
  <c r="L8" i="33"/>
  <c r="I24" i="31"/>
  <c r="I5" i="31" s="1"/>
  <c r="K5" i="33" s="1"/>
  <c r="K14" i="33" s="1"/>
  <c r="K8" i="33"/>
  <c r="N24" i="31"/>
  <c r="N5" i="31" s="1"/>
  <c r="P5" i="33" s="1"/>
  <c r="P14" i="33" s="1"/>
  <c r="P8" i="33"/>
  <c r="S24" i="31"/>
  <c r="S5" i="31" s="1"/>
  <c r="U5" i="33" s="1"/>
  <c r="U14" i="33" s="1"/>
  <c r="U8" i="33"/>
  <c r="V24" i="31"/>
  <c r="V5" i="31" s="1"/>
  <c r="X5" i="33" s="1"/>
  <c r="X14" i="33" s="1"/>
  <c r="X8" i="33"/>
  <c r="L24" i="31"/>
  <c r="L5" i="31" s="1"/>
  <c r="N5" i="33" s="1"/>
  <c r="N14" i="33" s="1"/>
  <c r="N8" i="33"/>
  <c r="F24" i="31"/>
  <c r="F5" i="31" s="1"/>
  <c r="H5" i="33" s="1"/>
  <c r="H14" i="33" s="1"/>
  <c r="H8" i="33"/>
  <c r="H24" i="31"/>
  <c r="H5" i="31" s="1"/>
  <c r="J5" i="33" s="1"/>
  <c r="J14" i="33" s="1"/>
  <c r="P24" i="31"/>
  <c r="P5" i="31" s="1"/>
  <c r="R5" i="33" s="1"/>
  <c r="R14" i="33" s="1"/>
  <c r="R8" i="33"/>
  <c r="AG24" i="31"/>
  <c r="AG5" i="31" s="1"/>
  <c r="AI5" i="33" s="1"/>
  <c r="AI14" i="33" s="1"/>
  <c r="AI8" i="33"/>
  <c r="E24" i="31"/>
  <c r="E5" i="31" s="1"/>
  <c r="G5" i="33" s="1"/>
  <c r="G14" i="33" s="1"/>
  <c r="G8" i="33"/>
  <c r="W24" i="31"/>
  <c r="W5" i="31" s="1"/>
  <c r="Y5" i="33" s="1"/>
  <c r="Y14" i="33" s="1"/>
  <c r="Y8" i="33"/>
  <c r="AG7" i="33" l="1"/>
  <c r="AH7" i="33"/>
  <c r="Y7" i="33"/>
  <c r="AE7" i="33"/>
  <c r="AJ7" i="33"/>
  <c r="P7" i="33"/>
  <c r="P6" i="33" s="1"/>
  <c r="P10" i="33" s="1"/>
  <c r="AA7" i="33"/>
  <c r="N7" i="33"/>
  <c r="W7" i="33"/>
  <c r="H7" i="33"/>
  <c r="H6" i="33" s="1"/>
  <c r="H10" i="33" s="1"/>
  <c r="H18" i="33" s="1"/>
  <c r="H20" i="33" s="1"/>
  <c r="H26" i="33" s="1"/>
  <c r="I7" i="33"/>
  <c r="G7" i="33"/>
  <c r="AI7" i="33" l="1"/>
  <c r="AI6" i="33" s="1"/>
  <c r="AI10" i="33" s="1"/>
  <c r="X7" i="33"/>
  <c r="X6" i="33" s="1"/>
  <c r="X10" i="33" s="1"/>
  <c r="Z7" i="33"/>
  <c r="Z6" i="33" s="1"/>
  <c r="Z10" i="33" s="1"/>
  <c r="J7" i="33"/>
  <c r="J6" i="33" s="1"/>
  <c r="J10" i="33" s="1"/>
  <c r="J18" i="33" s="1"/>
  <c r="AC7" i="33"/>
  <c r="AC6" i="33" s="1"/>
  <c r="AC10" i="33" s="1"/>
  <c r="AC18" i="33" s="1"/>
  <c r="T7" i="33"/>
  <c r="T6" i="33" s="1"/>
  <c r="T10" i="33" s="1"/>
  <c r="T18" i="33" s="1"/>
  <c r="M7" i="33"/>
  <c r="M6" i="33" s="1"/>
  <c r="M10" i="33" s="1"/>
  <c r="M18" i="33" s="1"/>
  <c r="S7" i="33"/>
  <c r="S6" i="33" s="1"/>
  <c r="S10" i="33" s="1"/>
  <c r="S18" i="33" s="1"/>
  <c r="R7" i="33"/>
  <c r="R6" i="33" s="1"/>
  <c r="R10" i="33" s="1"/>
  <c r="R18" i="33" s="1"/>
  <c r="R20" i="33" s="1"/>
  <c r="R26" i="33" s="1"/>
  <c r="O7" i="33"/>
  <c r="O6" i="33" s="1"/>
  <c r="O10" i="33" s="1"/>
  <c r="O18" i="33" s="1"/>
  <c r="AD7" i="33"/>
  <c r="AD6" i="33" s="1"/>
  <c r="AD10" i="33" s="1"/>
  <c r="AD18" i="33" s="1"/>
  <c r="AD20" i="33" s="1"/>
  <c r="AD26" i="33" s="1"/>
  <c r="U7" i="33"/>
  <c r="U6" i="33" s="1"/>
  <c r="U10" i="33" s="1"/>
  <c r="U18" i="33" s="1"/>
  <c r="AF7" i="33"/>
  <c r="AF6" i="33" s="1"/>
  <c r="AF10" i="33" s="1"/>
  <c r="AF18" i="33" s="1"/>
  <c r="AB7" i="33"/>
  <c r="AB6" i="33" s="1"/>
  <c r="AB10" i="33" s="1"/>
  <c r="AB18" i="33" s="1"/>
  <c r="L7" i="33"/>
  <c r="L6" i="33" s="1"/>
  <c r="L10" i="33" s="1"/>
  <c r="L18" i="33" s="1"/>
  <c r="P18" i="33"/>
  <c r="V7" i="33"/>
  <c r="V6" i="33" s="1"/>
  <c r="V10" i="33" s="1"/>
  <c r="V18" i="33" s="1"/>
  <c r="K7" i="33"/>
  <c r="K6" i="33" s="1"/>
  <c r="K10" i="33" s="1"/>
  <c r="K18" i="33" s="1"/>
  <c r="K20" i="33" s="1"/>
  <c r="K26" i="33" s="1"/>
  <c r="Q7" i="33"/>
  <c r="Q6" i="33" s="1"/>
  <c r="Q10" i="33" s="1"/>
  <c r="Q18" i="33" s="1"/>
  <c r="AJ6" i="33"/>
  <c r="AJ10" i="33" s="1"/>
  <c r="AE6" i="33"/>
  <c r="AE10" i="33" s="1"/>
  <c r="Y6" i="33"/>
  <c r="Y10" i="33" s="1"/>
  <c r="AH6" i="33"/>
  <c r="AH10" i="33" s="1"/>
  <c r="AG6" i="33"/>
  <c r="AG10" i="33" s="1"/>
  <c r="N6" i="33"/>
  <c r="N10" i="33" s="1"/>
  <c r="AA6" i="33"/>
  <c r="AA10" i="33" s="1"/>
  <c r="G6" i="33"/>
  <c r="G10" i="33" s="1"/>
  <c r="G18" i="33" s="1"/>
  <c r="G20" i="33" s="1"/>
  <c r="I6" i="33"/>
  <c r="I10" i="33" s="1"/>
  <c r="I18" i="33" s="1"/>
  <c r="I20" i="33" s="1"/>
  <c r="I26" i="33" s="1"/>
  <c r="W6" i="33"/>
  <c r="W10" i="33" s="1"/>
  <c r="AG18" i="33" l="1"/>
  <c r="AG20" i="33" s="1"/>
  <c r="AG26" i="33" s="1"/>
  <c r="AI18" i="33"/>
  <c r="AI20" i="33" s="1"/>
  <c r="AI26" i="33" s="1"/>
  <c r="X18" i="33"/>
  <c r="X20" i="33" s="1"/>
  <c r="X26" i="33" s="1"/>
  <c r="Z18" i="33"/>
  <c r="Z20" i="33" s="1"/>
  <c r="Z26" i="33" s="1"/>
  <c r="Y18" i="33"/>
  <c r="Y20" i="33" s="1"/>
  <c r="Y26" i="33" s="1"/>
  <c r="AE18" i="33"/>
  <c r="AE20" i="33" s="1"/>
  <c r="AE26" i="33" s="1"/>
  <c r="AH18" i="33"/>
  <c r="AH20" i="33" s="1"/>
  <c r="N18" i="33"/>
  <c r="N20" i="33" s="1"/>
  <c r="N26" i="33" s="1"/>
  <c r="W18" i="33"/>
  <c r="W20" i="33" s="1"/>
  <c r="W26" i="33" s="1"/>
  <c r="AJ18" i="33"/>
  <c r="AJ20" i="33" s="1"/>
  <c r="AJ26" i="33" s="1"/>
  <c r="P20" i="33"/>
  <c r="P26" i="33" s="1"/>
  <c r="AA18" i="33"/>
  <c r="Q20" i="33"/>
  <c r="Q26" i="33" s="1"/>
  <c r="J20" i="33"/>
  <c r="J26" i="33" s="1"/>
  <c r="T20" i="33"/>
  <c r="T26" i="33" s="1"/>
  <c r="G26" i="33"/>
  <c r="AF20" i="33"/>
  <c r="AF26" i="33" s="1"/>
  <c r="U20" i="33"/>
  <c r="U26" i="33" s="1"/>
  <c r="M20" i="33"/>
  <c r="M26" i="33" s="1"/>
  <c r="S20" i="33"/>
  <c r="S26" i="33" s="1"/>
  <c r="L20" i="33"/>
  <c r="L26" i="33" s="1"/>
  <c r="O20" i="33"/>
  <c r="O26" i="33" s="1"/>
  <c r="AB20" i="33"/>
  <c r="AB26" i="33" s="1"/>
  <c r="V20" i="33"/>
  <c r="V26" i="33" s="1"/>
  <c r="AC20" i="33"/>
  <c r="AC26" i="33" s="1"/>
  <c r="AH26" i="33" l="1"/>
  <c r="G28" i="33"/>
  <c r="H28" i="33" s="1"/>
  <c r="I28" i="33" s="1"/>
  <c r="J28" i="33" s="1"/>
  <c r="AA20" i="33"/>
  <c r="AA26" i="33" s="1"/>
  <c r="G32" i="33" s="1"/>
  <c r="K28" i="33" l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V28" i="33" s="1"/>
  <c r="W28" i="33" s="1"/>
  <c r="X28" i="33" s="1"/>
  <c r="Y28" i="33" s="1"/>
  <c r="Z28" i="33" s="1"/>
  <c r="AA28" i="33" s="1"/>
  <c r="AB28" i="33" s="1"/>
  <c r="AC28" i="33" s="1"/>
  <c r="AD28" i="33" s="1"/>
  <c r="AE28" i="33" s="1"/>
  <c r="AF28" i="33" s="1"/>
  <c r="AG28" i="33" s="1"/>
  <c r="AH28" i="33" s="1"/>
  <c r="AI28" i="33" s="1"/>
  <c r="AJ28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Eduardo Rigotto</author>
  </authors>
  <commentList>
    <comment ref="J12" authorId="0" shapeId="0" xr:uid="{A1A58C3C-25EE-4444-AD0F-0DDBDD3E6DDC}">
      <text>
        <r>
          <rPr>
            <b/>
            <sz val="9"/>
            <color indexed="81"/>
            <rFont val="Segoe UI"/>
            <family val="2"/>
          </rPr>
          <t>Inclui não recorrente ano 1 = 4,5MM
Opex recorrente 12,02MM</t>
        </r>
      </text>
    </comment>
  </commentList>
</comments>
</file>

<file path=xl/sharedStrings.xml><?xml version="1.0" encoding="utf-8"?>
<sst xmlns="http://schemas.openxmlformats.org/spreadsheetml/2006/main" count="155" uniqueCount="107">
  <si>
    <t xml:space="preserve">BLOCO CORPORATIVO </t>
  </si>
  <si>
    <t>BLOCO COMERCIAL / SERVIÇOS</t>
  </si>
  <si>
    <t>BLOCO CULTURAL</t>
  </si>
  <si>
    <t>EDIFÍCIO CORPORATIVO</t>
  </si>
  <si>
    <t>LAJE PASSEIO PÚBLICO:
Espaço para feiras (2.200m²)</t>
  </si>
  <si>
    <t xml:space="preserve">EDIFICAÇÃO </t>
  </si>
  <si>
    <r>
      <t xml:space="preserve">(6 LAJES COM 2.092,17m² CADA - </t>
    </r>
    <r>
      <rPr>
        <b/>
        <sz val="11"/>
        <color rgb="FF000000"/>
        <rFont val="Calibri"/>
        <family val="2"/>
        <scheme val="minor"/>
      </rPr>
      <t>ABL PAV: 1.915,26m²</t>
    </r>
    <r>
      <rPr>
        <sz val="11"/>
        <color rgb="FF000000"/>
        <rFont val="Calibri"/>
        <family val="2"/>
        <scheme val="minor"/>
      </rPr>
      <t>)</t>
    </r>
  </si>
  <si>
    <r>
      <t xml:space="preserve">ABL PRAÇA COMERCIAL:               </t>
    </r>
    <r>
      <rPr>
        <sz val="11"/>
        <color rgb="FF000000"/>
        <rFont val="Calibri"/>
        <family val="2"/>
        <scheme val="minor"/>
      </rPr>
      <t>48 CONTAINERS 20 PÉS (14,76M²) + 12 CONTAINERS 40 PÉS (29,70M²)</t>
    </r>
  </si>
  <si>
    <r>
      <t xml:space="preserve">(TEATRO 1.000 LUGARES, MEMORIAL DA LIBERDADE, CENTRO CULTURAL E SALAS MULTIUSO) - </t>
    </r>
    <r>
      <rPr>
        <b/>
        <sz val="11"/>
        <color rgb="FF000000"/>
        <rFont val="Calibri"/>
        <family val="2"/>
        <scheme val="minor"/>
      </rPr>
      <t>ABL EDIF. CULTURAL</t>
    </r>
    <r>
      <rPr>
        <sz val="11"/>
        <color rgb="FF000000"/>
        <rFont val="Calibri"/>
        <family val="2"/>
        <scheme val="minor"/>
      </rPr>
      <t>: 130,56M² + ROOF TOP DE 884M²</t>
    </r>
  </si>
  <si>
    <t>LAJE PASSEIO PÚBLICO</t>
  </si>
  <si>
    <r>
      <t xml:space="preserve">FACHADA ATIVA </t>
    </r>
    <r>
      <rPr>
        <sz val="11"/>
        <color rgb="FF000000"/>
        <rFont val="Calibri"/>
        <family val="2"/>
        <scheme val="minor"/>
      </rPr>
      <t>(RUA DA GLÓRIA)</t>
    </r>
  </si>
  <si>
    <t xml:space="preserve">FACHADA ATIVA </t>
  </si>
  <si>
    <t>(R. CONS. FURTADO)</t>
  </si>
  <si>
    <t>ABL TOTAL QUADRA CORP.</t>
  </si>
  <si>
    <t>ABL TOTAL QUADRA COMERCIAL</t>
  </si>
  <si>
    <t>ABL TOTAL QUADRA CULTURAL</t>
  </si>
  <si>
    <t>LAJE ESTACIONAMENTO</t>
  </si>
  <si>
    <t xml:space="preserve">LAJE ESTACIONAMENTO </t>
  </si>
  <si>
    <t>LAJE ÚTIL ESTACIONAMENTO</t>
  </si>
  <si>
    <t>VAGAS (UNIDADES)</t>
  </si>
  <si>
    <t>RESERVATÓRIO</t>
  </si>
  <si>
    <t>OBS.: AS MEDIDAS DE ÁREAS ESTÃO EM M²</t>
  </si>
  <si>
    <t>ABL TOTAL ESPLANADA</t>
  </si>
  <si>
    <t>M²</t>
  </si>
  <si>
    <t>VAGAS TOTAL</t>
  </si>
  <si>
    <t>UNIDADES</t>
  </si>
  <si>
    <t>RECEITAS POR CATEGORIA</t>
  </si>
  <si>
    <t>Estacionamento</t>
  </si>
  <si>
    <t>Valores / Qtde</t>
  </si>
  <si>
    <t>Premissas</t>
  </si>
  <si>
    <t>Número Vagas  Superior</t>
  </si>
  <si>
    <t>Vagas das lajes corporativas</t>
  </si>
  <si>
    <t>Número Vagas  Comercial</t>
  </si>
  <si>
    <t>-</t>
  </si>
  <si>
    <t>Número Vagas  Cultural</t>
  </si>
  <si>
    <t>Total de Vagas (sem Corporativo)</t>
  </si>
  <si>
    <t>Dias semana</t>
  </si>
  <si>
    <t>Fim de semana + Feriados</t>
  </si>
  <si>
    <t>Rotatividade média semana</t>
  </si>
  <si>
    <t>Média da região</t>
  </si>
  <si>
    <t>Rotatividade média fim de semana</t>
  </si>
  <si>
    <t>Ticket médio semana</t>
  </si>
  <si>
    <t>Média dos preços da região</t>
  </si>
  <si>
    <t>Ticket médio fim de semana + feriados</t>
  </si>
  <si>
    <t>Faturamento bruto</t>
  </si>
  <si>
    <t>Custos administrativos e gestão 3°</t>
  </si>
  <si>
    <t>Faturamento total ano pleno</t>
  </si>
  <si>
    <t>Teatro</t>
  </si>
  <si>
    <t>Qtde por ano</t>
  </si>
  <si>
    <t>Locação</t>
  </si>
  <si>
    <t>Público estimado por ano</t>
  </si>
  <si>
    <t>Eventos pequeno porte</t>
  </si>
  <si>
    <t xml:space="preserve">Valor praticado no mercado / 50 PAX </t>
  </si>
  <si>
    <t>Eventos médio porte</t>
  </si>
  <si>
    <t>Valor praticado no mercado / 300 PAX</t>
  </si>
  <si>
    <t>Eventos grande porte</t>
  </si>
  <si>
    <t>Valor praticado no mercado / 700 PAX</t>
  </si>
  <si>
    <t>Eventos grande porte (em cartaz - mensal)</t>
  </si>
  <si>
    <t>Valor praticado no mercado / 6 sessões por semana</t>
  </si>
  <si>
    <t>Total faturamento com locações de evestos</t>
  </si>
  <si>
    <t>Patrocínios &amp; Naming Rights</t>
  </si>
  <si>
    <t>Valor  praticado no mercado (anual)</t>
  </si>
  <si>
    <t>Locação comercial (Rooftop) R$ 64/m²</t>
  </si>
  <si>
    <t>Alimentos e Bebidas</t>
  </si>
  <si>
    <t>Repasse de 20% faturamento (anual)</t>
  </si>
  <si>
    <t>Total faturamento espaço no ano pleno (anual)</t>
  </si>
  <si>
    <t>Locações</t>
  </si>
  <si>
    <t>Qtde m²</t>
  </si>
  <si>
    <t>R$ / m² (Locação + Cond.)</t>
  </si>
  <si>
    <t>Total ano</t>
  </si>
  <si>
    <t>Corporativo</t>
  </si>
  <si>
    <t>Valor praticado na região - Fonte: https://www.colliers.com/pt-br</t>
  </si>
  <si>
    <t>Lojas</t>
  </si>
  <si>
    <t>Quiosques</t>
  </si>
  <si>
    <t xml:space="preserve">Valor praticado na região </t>
  </si>
  <si>
    <t>Feiras / Barracas</t>
  </si>
  <si>
    <t>Total Potencial faturamento considerando 100% ocupação (anual)</t>
  </si>
  <si>
    <t>Total geral considerando 100% ocupação (anual)</t>
  </si>
  <si>
    <t>Em milhares de R$</t>
  </si>
  <si>
    <t>ANO</t>
  </si>
  <si>
    <t>RECEITAS BRUTA</t>
  </si>
  <si>
    <t>Locação espaços comerciais</t>
  </si>
  <si>
    <t>Performance</t>
  </si>
  <si>
    <t>Quiosque</t>
  </si>
  <si>
    <t>Feiras e Barracas</t>
  </si>
  <si>
    <t>Locações de eventos</t>
  </si>
  <si>
    <t>Patrocínios</t>
  </si>
  <si>
    <t>Locações comerciais</t>
  </si>
  <si>
    <t>Outras receitas</t>
  </si>
  <si>
    <t>Total</t>
  </si>
  <si>
    <t>CAPEX</t>
  </si>
  <si>
    <t>Contraprestação mensal</t>
  </si>
  <si>
    <t>RECEITA BRUTA</t>
  </si>
  <si>
    <t>(-) DEDUÇÕES DA RECEITA</t>
  </si>
  <si>
    <t>PIS + COFINS (9,25%)</t>
  </si>
  <si>
    <t>ISS (5%)</t>
  </si>
  <si>
    <t>RECEITA LÍQUIDA</t>
  </si>
  <si>
    <t xml:space="preserve">CUSTOS &amp; DESPESAS &amp; OUTROS </t>
  </si>
  <si>
    <t>OUTORGA VARIÁVEL</t>
  </si>
  <si>
    <t>DEPRECIAÇÃO &amp; AMORTIZAÇÃO</t>
  </si>
  <si>
    <t>LUCRO OPERACIONAL</t>
  </si>
  <si>
    <t>IMPOSTOS</t>
  </si>
  <si>
    <t>(-) CAPEX</t>
  </si>
  <si>
    <t>FLUXO DE CAIXA DO PROJETO</t>
  </si>
  <si>
    <t>FLUXO DE CAIXA ACUMULADO</t>
  </si>
  <si>
    <t>TIR</t>
  </si>
  <si>
    <t>CAPEX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</si>
</sst>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&quot;R$&quot;\ #,##0;\-&quot;R$&quot;\ #,##0"/>
    <numFmt numFmtId="165" formatCode="_-* #,##0.00_-;\-* #,##0.00_-;_-* &quot;-&quot;??_-;_-@_-"/>
    <numFmt numFmtId="166" formatCode="&quot;R$&quot;#,##0.00;\-&quot;R$&quot;#,##0.00"/>
    <numFmt numFmtId="167" formatCode="_-&quot;R$&quot;* #,##0.00_-;\-&quot;R$&quot;* #,##0.00_-;_-&quot;R$&quot;* &quot;-&quot;??_-;_-@_-"/>
    <numFmt numFmtId="168" formatCode="_(* #,##0_);_(* \(#,##0\);_(* &quot;-&quot;??_);_(@_)"/>
    <numFmt numFmtId="169" formatCode="0.0%"/>
    <numFmt numFmtId="170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theme="1" tint="4.9989318521683403E-2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24994659260841701"/>
        <bgColor indexed="65"/>
      </patternFill>
    </fill>
    <fill>
      <patternFill patternType="solid">
        <fgColor theme="6" tint="-0.499984740745262"/>
        <bgColor indexed="65"/>
      </patternFill>
    </fill>
    <fill>
      <patternFill patternType="lightDown">
        <fgColor theme="3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0F0F0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5" fillId="4" borderId="3">
      <alignment horizontal="center" vertical="center"/>
    </xf>
    <xf numFmtId="0" fontId="6" fillId="0" borderId="3" applyNumberFormat="0">
      <alignment horizontal="center" vertical="center"/>
    </xf>
    <xf numFmtId="0" fontId="7" fillId="5" borderId="3">
      <alignment horizontal="center" vertical="center"/>
    </xf>
    <xf numFmtId="0" fontId="5" fillId="3" borderId="3">
      <alignment horizontal="center" vertical="center"/>
    </xf>
    <xf numFmtId="0" fontId="7" fillId="6" borderId="3" applyNumberFormat="0">
      <alignment horizontal="center" vertical="center"/>
    </xf>
    <xf numFmtId="0" fontId="8" fillId="7" borderId="3" applyNumberFormat="0">
      <alignment horizontal="center" vertical="center"/>
    </xf>
    <xf numFmtId="167" fontId="1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43" fontId="4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168" fontId="0" fillId="0" borderId="0" xfId="0" applyNumberFormat="1"/>
    <xf numFmtId="0" fontId="2" fillId="0" borderId="0" xfId="0" applyFont="1"/>
    <xf numFmtId="9" fontId="0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left" inden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3" fontId="0" fillId="0" borderId="4" xfId="0" applyNumberForma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0" fillId="0" borderId="4" xfId="11" applyNumberFormat="1" applyFont="1" applyBorder="1" applyAlignment="1">
      <alignment horizontal="center"/>
    </xf>
    <xf numFmtId="164" fontId="2" fillId="0" borderId="4" xfId="11" applyNumberFormat="1" applyFont="1" applyBorder="1" applyAlignment="1">
      <alignment horizontal="center"/>
    </xf>
    <xf numFmtId="0" fontId="12" fillId="0" borderId="0" xfId="0" applyFont="1"/>
    <xf numFmtId="0" fontId="10" fillId="12" borderId="2" xfId="0" applyFont="1" applyFill="1" applyBorder="1"/>
    <xf numFmtId="168" fontId="9" fillId="12" borderId="7" xfId="0" applyNumberFormat="1" applyFont="1" applyFill="1" applyBorder="1"/>
    <xf numFmtId="0" fontId="10" fillId="12" borderId="0" xfId="0" applyFont="1" applyFill="1"/>
    <xf numFmtId="0" fontId="9" fillId="12" borderId="8" xfId="0" applyFont="1" applyFill="1" applyBorder="1" applyAlignment="1">
      <alignment horizontal="left" indent="1"/>
    </xf>
    <xf numFmtId="0" fontId="9" fillId="10" borderId="9" xfId="0" applyFont="1" applyFill="1" applyBorder="1"/>
    <xf numFmtId="0" fontId="10" fillId="10" borderId="10" xfId="0" applyFont="1" applyFill="1" applyBorder="1"/>
    <xf numFmtId="168" fontId="9" fillId="10" borderId="11" xfId="0" applyNumberFormat="1" applyFont="1" applyFill="1" applyBorder="1"/>
    <xf numFmtId="169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9" fillId="9" borderId="9" xfId="0" applyFont="1" applyFill="1" applyBorder="1"/>
    <xf numFmtId="0" fontId="10" fillId="9" borderId="10" xfId="0" applyFont="1" applyFill="1" applyBorder="1"/>
    <xf numFmtId="168" fontId="9" fillId="9" borderId="11" xfId="0" applyNumberFormat="1" applyFont="1" applyFill="1" applyBorder="1"/>
    <xf numFmtId="0" fontId="0" fillId="0" borderId="0" xfId="0" applyAlignment="1">
      <alignment horizontal="left"/>
    </xf>
    <xf numFmtId="0" fontId="9" fillId="9" borderId="8" xfId="0" applyFont="1" applyFill="1" applyBorder="1"/>
    <xf numFmtId="0" fontId="10" fillId="9" borderId="2" xfId="0" applyFont="1" applyFill="1" applyBorder="1"/>
    <xf numFmtId="168" fontId="9" fillId="9" borderId="7" xfId="0" applyNumberFormat="1" applyFont="1" applyFill="1" applyBorder="1"/>
    <xf numFmtId="0" fontId="9" fillId="10" borderId="9" xfId="0" applyFont="1" applyFill="1" applyBorder="1" applyAlignment="1">
      <alignment horizontal="left"/>
    </xf>
    <xf numFmtId="0" fontId="2" fillId="0" borderId="0" xfId="0" applyFont="1" applyAlignment="1">
      <alignment horizontal="left" indent="1"/>
    </xf>
    <xf numFmtId="164" fontId="2" fillId="0" borderId="0" xfId="11" applyNumberFormat="1" applyFont="1" applyBorder="1" applyAlignment="1">
      <alignment horizontal="center"/>
    </xf>
    <xf numFmtId="9" fontId="9" fillId="12" borderId="7" xfId="1" applyFont="1" applyFill="1" applyBorder="1"/>
    <xf numFmtId="168" fontId="9" fillId="12" borderId="13" xfId="0" applyNumberFormat="1" applyFont="1" applyFill="1" applyBorder="1"/>
    <xf numFmtId="0" fontId="9" fillId="10" borderId="14" xfId="0" applyFont="1" applyFill="1" applyBorder="1"/>
    <xf numFmtId="0" fontId="10" fillId="10" borderId="15" xfId="0" applyFont="1" applyFill="1" applyBorder="1"/>
    <xf numFmtId="168" fontId="9" fillId="10" borderId="12" xfId="0" applyNumberFormat="1" applyFont="1" applyFill="1" applyBorder="1"/>
    <xf numFmtId="9" fontId="9" fillId="12" borderId="7" xfId="1" applyFont="1" applyFill="1" applyBorder="1" applyAlignment="1">
      <alignment horizontal="left" indent="9"/>
    </xf>
    <xf numFmtId="9" fontId="16" fillId="12" borderId="7" xfId="1" applyFont="1" applyFill="1" applyBorder="1" applyAlignment="1">
      <alignment horizontal="left" indent="9"/>
    </xf>
    <xf numFmtId="9" fontId="16" fillId="12" borderId="7" xfId="1" applyFont="1" applyFill="1" applyBorder="1"/>
    <xf numFmtId="9" fontId="17" fillId="0" borderId="0" xfId="1" applyFont="1"/>
    <xf numFmtId="168" fontId="10" fillId="12" borderId="13" xfId="0" applyNumberFormat="1" applyFont="1" applyFill="1" applyBorder="1"/>
    <xf numFmtId="9" fontId="18" fillId="12" borderId="7" xfId="1" applyFont="1" applyFill="1" applyBorder="1"/>
    <xf numFmtId="168" fontId="10" fillId="12" borderId="7" xfId="0" applyNumberFormat="1" applyFont="1" applyFill="1" applyBorder="1"/>
    <xf numFmtId="9" fontId="10" fillId="12" borderId="7" xfId="1" applyFont="1" applyFill="1" applyBorder="1"/>
    <xf numFmtId="0" fontId="13" fillId="0" borderId="0" xfId="0" applyFont="1" applyAlignment="1">
      <alignment horizontal="left" vertical="center"/>
    </xf>
    <xf numFmtId="3" fontId="0" fillId="0" borderId="4" xfId="11" applyNumberFormat="1" applyFont="1" applyBorder="1" applyAlignment="1">
      <alignment horizontal="center"/>
    </xf>
    <xf numFmtId="3" fontId="2" fillId="0" borderId="4" xfId="1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6" fontId="0" fillId="0" borderId="0" xfId="0" applyNumberFormat="1"/>
    <xf numFmtId="0" fontId="2" fillId="0" borderId="4" xfId="0" applyFont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168" fontId="9" fillId="12" borderId="13" xfId="0" applyNumberFormat="1" applyFont="1" applyFill="1" applyBorder="1" applyAlignment="1">
      <alignment horizontal="left" indent="2"/>
    </xf>
    <xf numFmtId="168" fontId="9" fillId="12" borderId="7" xfId="0" applyNumberFormat="1" applyFont="1" applyFill="1" applyBorder="1" applyAlignment="1">
      <alignment horizontal="left" indent="2"/>
    </xf>
    <xf numFmtId="1" fontId="0" fillId="0" borderId="4" xfId="0" applyNumberFormat="1" applyBorder="1" applyAlignment="1">
      <alignment horizontal="center"/>
    </xf>
    <xf numFmtId="169" fontId="0" fillId="8" borderId="0" xfId="1" applyNumberFormat="1" applyFont="1" applyFill="1" applyAlignment="1">
      <alignment horizontal="center"/>
    </xf>
    <xf numFmtId="0" fontId="20" fillId="16" borderId="18" xfId="0" applyFont="1" applyFill="1" applyBorder="1" applyAlignment="1">
      <alignment horizontal="left" vertical="center" wrapText="1" readingOrder="1"/>
    </xf>
    <xf numFmtId="0" fontId="21" fillId="16" borderId="18" xfId="0" applyFont="1" applyFill="1" applyBorder="1" applyAlignment="1">
      <alignment vertical="center" wrapText="1" readingOrder="1"/>
    </xf>
    <xf numFmtId="3" fontId="21" fillId="16" borderId="18" xfId="0" applyNumberFormat="1" applyFont="1" applyFill="1" applyBorder="1" applyAlignment="1">
      <alignment horizontal="center" vertical="center" wrapText="1" readingOrder="1"/>
    </xf>
    <xf numFmtId="0" fontId="20" fillId="16" borderId="19" xfId="0" applyFont="1" applyFill="1" applyBorder="1" applyAlignment="1">
      <alignment vertical="center" wrapText="1" readingOrder="1"/>
    </xf>
    <xf numFmtId="0" fontId="0" fillId="0" borderId="0" xfId="0" applyAlignment="1">
      <alignment horizontal="left" vertical="center"/>
    </xf>
    <xf numFmtId="3" fontId="21" fillId="16" borderId="20" xfId="0" applyNumberFormat="1" applyFont="1" applyFill="1" applyBorder="1" applyAlignment="1">
      <alignment horizontal="center" vertical="center" wrapText="1" readingOrder="1"/>
    </xf>
    <xf numFmtId="0" fontId="21" fillId="16" borderId="20" xfId="0" applyFont="1" applyFill="1" applyBorder="1" applyAlignment="1">
      <alignment vertical="center" readingOrder="1"/>
    </xf>
    <xf numFmtId="0" fontId="20" fillId="17" borderId="21" xfId="0" applyFont="1" applyFill="1" applyBorder="1" applyAlignment="1">
      <alignment horizontal="left" vertical="center" wrapText="1" readingOrder="1"/>
    </xf>
    <xf numFmtId="0" fontId="21" fillId="17" borderId="20" xfId="0" applyFont="1" applyFill="1" applyBorder="1" applyAlignment="1">
      <alignment horizontal="left" vertical="center" wrapText="1" readingOrder="1"/>
    </xf>
    <xf numFmtId="0" fontId="9" fillId="16" borderId="22" xfId="0" applyFont="1" applyFill="1" applyBorder="1" applyAlignment="1">
      <alignment horizontal="left" vertical="center" wrapText="1" readingOrder="1"/>
    </xf>
    <xf numFmtId="3" fontId="9" fillId="16" borderId="22" xfId="0" applyNumberFormat="1" applyFont="1" applyFill="1" applyBorder="1" applyAlignment="1">
      <alignment horizontal="center" vertical="top" wrapText="1"/>
    </xf>
    <xf numFmtId="3" fontId="9" fillId="16" borderId="22" xfId="0" applyNumberFormat="1" applyFont="1" applyFill="1" applyBorder="1" applyAlignment="1">
      <alignment horizontal="center" vertical="center" wrapText="1"/>
    </xf>
    <xf numFmtId="0" fontId="20" fillId="17" borderId="22" xfId="0" applyFont="1" applyFill="1" applyBorder="1" applyAlignment="1">
      <alignment horizontal="left" vertical="center" wrapText="1" readingOrder="1"/>
    </xf>
    <xf numFmtId="3" fontId="21" fillId="17" borderId="22" xfId="0" applyNumberFormat="1" applyFont="1" applyFill="1" applyBorder="1" applyAlignment="1">
      <alignment horizontal="center" vertical="center" wrapText="1" readingOrder="1"/>
    </xf>
    <xf numFmtId="0" fontId="10" fillId="16" borderId="22" xfId="0" applyFont="1" applyFill="1" applyBorder="1" applyAlignment="1">
      <alignment horizontal="center" vertical="center" wrapText="1" readingOrder="1"/>
    </xf>
    <xf numFmtId="3" fontId="10" fillId="16" borderId="22" xfId="0" applyNumberFormat="1" applyFont="1" applyFill="1" applyBorder="1" applyAlignment="1">
      <alignment horizontal="center" vertical="center" wrapText="1" readingOrder="1"/>
    </xf>
    <xf numFmtId="0" fontId="10" fillId="17" borderId="22" xfId="0" applyFont="1" applyFill="1" applyBorder="1" applyAlignment="1">
      <alignment vertical="top" wrapText="1"/>
    </xf>
    <xf numFmtId="3" fontId="10" fillId="17" borderId="22" xfId="0" applyNumberFormat="1" applyFont="1" applyFill="1" applyBorder="1" applyAlignment="1">
      <alignment horizontal="center" vertical="center" wrapText="1"/>
    </xf>
    <xf numFmtId="0" fontId="9" fillId="0" borderId="0" xfId="0" applyFont="1"/>
    <xf numFmtId="3" fontId="2" fillId="0" borderId="0" xfId="2" applyNumberFormat="1" applyFont="1" applyAlignment="1">
      <alignment horizontal="right"/>
    </xf>
    <xf numFmtId="3" fontId="0" fillId="0" borderId="4" xfId="11" applyNumberFormat="1" applyFont="1" applyFill="1" applyBorder="1" applyAlignment="1">
      <alignment horizontal="center"/>
    </xf>
    <xf numFmtId="3" fontId="2" fillId="0" borderId="4" xfId="11" applyNumberFormat="1" applyFont="1" applyFill="1" applyBorder="1" applyAlignment="1">
      <alignment horizontal="center"/>
    </xf>
    <xf numFmtId="0" fontId="24" fillId="0" borderId="0" xfId="0" applyFont="1"/>
    <xf numFmtId="0" fontId="9" fillId="9" borderId="2" xfId="0" applyFont="1" applyFill="1" applyBorder="1"/>
    <xf numFmtId="0" fontId="9" fillId="9" borderId="24" xfId="0" applyFont="1" applyFill="1" applyBorder="1"/>
    <xf numFmtId="9" fontId="0" fillId="0" borderId="0" xfId="0" applyNumberFormat="1" applyAlignment="1">
      <alignment horizontal="center"/>
    </xf>
    <xf numFmtId="169" fontId="2" fillId="0" borderId="0" xfId="0" applyNumberFormat="1" applyFont="1" applyAlignment="1">
      <alignment horizontal="right"/>
    </xf>
    <xf numFmtId="9" fontId="0" fillId="0" borderId="0" xfId="1" applyFont="1" applyFill="1" applyAlignment="1">
      <alignment horizontal="center"/>
    </xf>
    <xf numFmtId="168" fontId="9" fillId="9" borderId="7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20" fillId="17" borderId="21" xfId="0" applyFont="1" applyFill="1" applyBorder="1" applyAlignment="1">
      <alignment horizontal="left" vertical="center" wrapText="1" readingOrder="1"/>
    </xf>
    <xf numFmtId="0" fontId="20" fillId="17" borderId="20" xfId="0" applyFont="1" applyFill="1" applyBorder="1" applyAlignment="1">
      <alignment horizontal="left" vertical="center" wrapText="1" readingOrder="1"/>
    </xf>
    <xf numFmtId="3" fontId="21" fillId="17" borderId="21" xfId="0" applyNumberFormat="1" applyFont="1" applyFill="1" applyBorder="1" applyAlignment="1">
      <alignment horizontal="center" vertical="center" wrapText="1" readingOrder="1"/>
    </xf>
    <xf numFmtId="3" fontId="21" fillId="17" borderId="20" xfId="0" applyNumberFormat="1" applyFont="1" applyFill="1" applyBorder="1" applyAlignment="1">
      <alignment horizontal="center" vertical="center" wrapText="1" readingOrder="1"/>
    </xf>
    <xf numFmtId="0" fontId="19" fillId="13" borderId="16" xfId="0" applyFont="1" applyFill="1" applyBorder="1" applyAlignment="1">
      <alignment horizontal="center" vertical="center" wrapText="1" readingOrder="1"/>
    </xf>
    <xf numFmtId="0" fontId="19" fillId="13" borderId="17" xfId="0" applyFont="1" applyFill="1" applyBorder="1" applyAlignment="1">
      <alignment horizontal="center" vertical="center" wrapText="1" readingOrder="1"/>
    </xf>
    <xf numFmtId="0" fontId="19" fillId="14" borderId="16" xfId="0" applyFont="1" applyFill="1" applyBorder="1" applyAlignment="1">
      <alignment horizontal="center" vertical="center" wrapText="1" readingOrder="1"/>
    </xf>
    <xf numFmtId="0" fontId="19" fillId="14" borderId="17" xfId="0" applyFont="1" applyFill="1" applyBorder="1" applyAlignment="1">
      <alignment horizontal="center" vertical="center" wrapText="1" readingOrder="1"/>
    </xf>
    <xf numFmtId="0" fontId="19" fillId="15" borderId="16" xfId="0" applyFont="1" applyFill="1" applyBorder="1" applyAlignment="1">
      <alignment horizontal="center" vertical="center" wrapText="1" readingOrder="1"/>
    </xf>
    <xf numFmtId="0" fontId="19" fillId="15" borderId="17" xfId="0" applyFont="1" applyFill="1" applyBorder="1" applyAlignment="1">
      <alignment horizontal="center" vertical="center" wrapText="1" readingOrder="1"/>
    </xf>
    <xf numFmtId="0" fontId="21" fillId="16" borderId="19" xfId="0" applyFont="1" applyFill="1" applyBorder="1" applyAlignment="1">
      <alignment horizontal="left" vertical="center" wrapText="1" readingOrder="1"/>
    </xf>
    <xf numFmtId="0" fontId="21" fillId="16" borderId="20" xfId="0" applyFont="1" applyFill="1" applyBorder="1" applyAlignment="1">
      <alignment horizontal="left" vertical="center" wrapText="1" readingOrder="1"/>
    </xf>
    <xf numFmtId="3" fontId="21" fillId="16" borderId="18" xfId="0" applyNumberFormat="1" applyFont="1" applyFill="1" applyBorder="1" applyAlignment="1">
      <alignment horizontal="center" vertical="center" wrapText="1" readingOrder="1"/>
    </xf>
    <xf numFmtId="3" fontId="21" fillId="16" borderId="20" xfId="0" applyNumberFormat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16">
    <cellStyle name="Dias livres" xfId="10" xr:uid="{B7166377-88CC-421F-91C3-8E7EDBA8008E}"/>
    <cellStyle name="Feriados" xfId="9" xr:uid="{77FB6DFA-0B24-4284-BB41-C6B95F6B3BA1}"/>
    <cellStyle name="Folga" xfId="6" xr:uid="{EC1FAE51-C4A3-4BDD-8D63-EA7E10DF5A88}"/>
    <cellStyle name="Moeda" xfId="11" builtinId="4"/>
    <cellStyle name="Normal" xfId="0" builtinId="0"/>
    <cellStyle name="Normal 2" xfId="12" xr:uid="{17F02481-84FA-4659-84C9-1552D67EDA61}"/>
    <cellStyle name="Normal 2 2" xfId="13" xr:uid="{AD01D4EB-FC7B-4FE8-8082-4315CB4EB469}"/>
    <cellStyle name="Normal 4 2" xfId="14" xr:uid="{9688CAF8-4023-41D8-B860-B597853B0133}"/>
    <cellStyle name="Normal 6" xfId="4" xr:uid="{BE183719-13E5-4388-B48B-D26656DCE276}"/>
    <cellStyle name="Porcentagem" xfId="1" builtinId="5"/>
    <cellStyle name="Separador de milhares 2" xfId="15" xr:uid="{9D289786-01DB-4611-A51D-2261C81C565B}"/>
    <cellStyle name="Turno Diurno" xfId="5" xr:uid="{9AB30901-8F0E-4191-930F-6B8C909726FC}"/>
    <cellStyle name="Turno Diurno/Noturno" xfId="8" xr:uid="{363237C5-BC45-48CB-B6CA-52B7F353DBEC}"/>
    <cellStyle name="Turno Noturno" xfId="7" xr:uid="{6FE1338E-C048-4BAA-9705-264D178ED959}"/>
    <cellStyle name="Vírgula" xfId="2" builtinId="3"/>
    <cellStyle name="Vírgula 11" xfId="3" xr:uid="{621235FC-86A5-4658-BC0E-248419F02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25B1-B728-435B-BACA-9219A51CB9FE}">
  <sheetPr>
    <tabColor rgb="FFFF0000"/>
  </sheetPr>
  <dimension ref="B1:H14"/>
  <sheetViews>
    <sheetView showGridLines="0" zoomScaleNormal="100" workbookViewId="0">
      <selection activeCell="D3" sqref="D3"/>
    </sheetView>
  </sheetViews>
  <sheetFormatPr defaultColWidth="26.28515625" defaultRowHeight="14.45"/>
  <cols>
    <col min="1" max="1" width="6.42578125" customWidth="1"/>
    <col min="2" max="2" width="34.140625" customWidth="1"/>
    <col min="3" max="3" width="18.140625" customWidth="1"/>
    <col min="4" max="4" width="34.140625" customWidth="1"/>
    <col min="5" max="5" width="18.140625" style="10" customWidth="1"/>
    <col min="6" max="6" width="34.140625" customWidth="1"/>
    <col min="7" max="7" width="18.140625" style="1" customWidth="1"/>
  </cols>
  <sheetData>
    <row r="1" spans="2:8" ht="15" thickBot="1"/>
    <row r="2" spans="2:8" ht="16.149999999999999" thickBot="1">
      <c r="B2" s="105" t="s">
        <v>0</v>
      </c>
      <c r="C2" s="106"/>
      <c r="D2" s="107" t="s">
        <v>1</v>
      </c>
      <c r="E2" s="108"/>
      <c r="F2" s="109" t="s">
        <v>2</v>
      </c>
      <c r="G2" s="110"/>
    </row>
    <row r="3" spans="2:8" s="33" customFormat="1" ht="42" customHeight="1" thickTop="1" thickBot="1">
      <c r="B3" s="71" t="s">
        <v>3</v>
      </c>
      <c r="C3" s="72"/>
      <c r="D3" s="71" t="s">
        <v>4</v>
      </c>
      <c r="E3" s="73">
        <v>3761.82</v>
      </c>
      <c r="F3" s="71" t="s">
        <v>5</v>
      </c>
      <c r="G3" s="73"/>
      <c r="H3"/>
    </row>
    <row r="4" spans="2:8" s="60" customFormat="1" ht="60.75" customHeight="1" thickTop="1">
      <c r="B4" s="111" t="s">
        <v>6</v>
      </c>
      <c r="C4" s="113">
        <f>2092.17*6</f>
        <v>12553.02</v>
      </c>
      <c r="D4" s="74" t="s">
        <v>7</v>
      </c>
      <c r="E4" s="73">
        <f>(29.7*12)+(14.76*48)</f>
        <v>1064.8800000000001</v>
      </c>
      <c r="F4" s="111" t="s">
        <v>8</v>
      </c>
      <c r="G4" s="113">
        <v>4627.8</v>
      </c>
      <c r="H4" s="75"/>
    </row>
    <row r="5" spans="2:8" s="33" customFormat="1" ht="30.75" customHeight="1" thickBot="1">
      <c r="B5" s="112"/>
      <c r="C5" s="114"/>
      <c r="D5" s="77"/>
      <c r="E5" s="76"/>
      <c r="F5" s="112"/>
      <c r="G5" s="114"/>
      <c r="H5"/>
    </row>
    <row r="6" spans="2:8" s="33" customFormat="1" ht="15.6">
      <c r="B6" s="101" t="s">
        <v>9</v>
      </c>
      <c r="C6" s="103">
        <v>4062.13</v>
      </c>
      <c r="D6" s="101" t="s">
        <v>10</v>
      </c>
      <c r="E6" s="103">
        <v>185.23</v>
      </c>
      <c r="F6" s="78" t="s">
        <v>11</v>
      </c>
      <c r="G6" s="103">
        <v>368.03</v>
      </c>
      <c r="H6"/>
    </row>
    <row r="7" spans="2:8" s="33" customFormat="1" ht="16.149999999999999" thickBot="1">
      <c r="B7" s="102"/>
      <c r="C7" s="104"/>
      <c r="D7" s="102"/>
      <c r="E7" s="104"/>
      <c r="F7" s="79" t="s">
        <v>12</v>
      </c>
      <c r="G7" s="104"/>
      <c r="H7"/>
    </row>
    <row r="8" spans="2:8" s="33" customFormat="1" ht="16.149999999999999" thickBot="1">
      <c r="B8" s="80" t="s">
        <v>13</v>
      </c>
      <c r="C8" s="81">
        <f>1915.26*6</f>
        <v>11491.56</v>
      </c>
      <c r="D8" s="80" t="s">
        <v>14</v>
      </c>
      <c r="E8" s="82">
        <f>E4+E6</f>
        <v>1250.1100000000001</v>
      </c>
      <c r="F8" s="80" t="s">
        <v>15</v>
      </c>
      <c r="G8" s="81">
        <f>130.56+G6+884</f>
        <v>1382.59</v>
      </c>
      <c r="H8"/>
    </row>
    <row r="9" spans="2:8" s="33" customFormat="1" ht="16.149999999999999" thickBot="1">
      <c r="B9" s="83" t="s">
        <v>16</v>
      </c>
      <c r="C9" s="84">
        <v>3646.3</v>
      </c>
      <c r="D9" s="83" t="s">
        <v>17</v>
      </c>
      <c r="E9" s="84">
        <v>3442.55</v>
      </c>
      <c r="F9" s="83" t="s">
        <v>18</v>
      </c>
      <c r="G9" s="84">
        <v>3043</v>
      </c>
      <c r="H9"/>
    </row>
    <row r="10" spans="2:8" s="33" customFormat="1" ht="16.149999999999999" thickBot="1">
      <c r="B10" s="80" t="s">
        <v>19</v>
      </c>
      <c r="C10" s="85">
        <v>133</v>
      </c>
      <c r="D10" s="80" t="s">
        <v>19</v>
      </c>
      <c r="E10" s="86">
        <v>152</v>
      </c>
      <c r="F10" s="80" t="s">
        <v>19</v>
      </c>
      <c r="G10" s="86">
        <v>128</v>
      </c>
      <c r="H10"/>
    </row>
    <row r="11" spans="2:8" s="33" customFormat="1" ht="16.149999999999999" thickBot="1">
      <c r="B11" s="87"/>
      <c r="C11" s="87"/>
      <c r="D11" s="87"/>
      <c r="E11" s="88"/>
      <c r="F11" s="83" t="s">
        <v>20</v>
      </c>
      <c r="G11" s="84">
        <v>782</v>
      </c>
      <c r="H11"/>
    </row>
    <row r="13" spans="2:8">
      <c r="B13" s="4" t="s">
        <v>21</v>
      </c>
      <c r="F13" s="89" t="s">
        <v>22</v>
      </c>
      <c r="G13" s="90">
        <f>C8+E8+G8</f>
        <v>14124.26</v>
      </c>
      <c r="H13" s="4" t="s">
        <v>23</v>
      </c>
    </row>
    <row r="14" spans="2:8">
      <c r="F14" s="89" t="s">
        <v>24</v>
      </c>
      <c r="G14" s="6">
        <f>C10+E10+G10</f>
        <v>413</v>
      </c>
      <c r="H14" s="4" t="s">
        <v>25</v>
      </c>
    </row>
  </sheetData>
  <mergeCells count="12">
    <mergeCell ref="B2:C2"/>
    <mergeCell ref="D2:E2"/>
    <mergeCell ref="F2:G2"/>
    <mergeCell ref="B4:B5"/>
    <mergeCell ref="C4:C5"/>
    <mergeCell ref="F4:F5"/>
    <mergeCell ref="G4:G5"/>
    <mergeCell ref="B6:B7"/>
    <mergeCell ref="C6:C7"/>
    <mergeCell ref="D6:D7"/>
    <mergeCell ref="E6:E7"/>
    <mergeCell ref="G6:G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3816-230D-436E-A17D-9304A50FBD8C}">
  <sheetPr>
    <tabColor rgb="FFFF0000"/>
  </sheetPr>
  <dimension ref="B2:G46"/>
  <sheetViews>
    <sheetView showGridLines="0" tabSelected="1" workbookViewId="0">
      <selection activeCell="B11" sqref="B11"/>
    </sheetView>
  </sheetViews>
  <sheetFormatPr defaultRowHeight="14.45"/>
  <cols>
    <col min="2" max="2" width="42.7109375" customWidth="1"/>
    <col min="3" max="3" width="15.85546875" customWidth="1"/>
    <col min="4" max="4" width="26.42578125" bestFit="1" customWidth="1"/>
    <col min="5" max="5" width="47.28515625" bestFit="1" customWidth="1"/>
    <col min="6" max="6" width="60.5703125" bestFit="1" customWidth="1"/>
    <col min="7" max="7" width="14" bestFit="1" customWidth="1"/>
  </cols>
  <sheetData>
    <row r="2" spans="2:7" ht="18">
      <c r="B2" s="22" t="s">
        <v>26</v>
      </c>
    </row>
    <row r="4" spans="2:7" ht="15.6">
      <c r="B4" s="13" t="s">
        <v>27</v>
      </c>
      <c r="C4" s="14" t="s">
        <v>28</v>
      </c>
      <c r="D4" s="19" t="s">
        <v>29</v>
      </c>
    </row>
    <row r="5" spans="2:7">
      <c r="B5" s="11" t="s">
        <v>30</v>
      </c>
      <c r="C5" s="15">
        <v>133</v>
      </c>
      <c r="D5" s="15" t="s">
        <v>31</v>
      </c>
    </row>
    <row r="6" spans="2:7">
      <c r="B6" s="11" t="s">
        <v>32</v>
      </c>
      <c r="C6" s="15">
        <v>153</v>
      </c>
      <c r="D6" s="15" t="s">
        <v>33</v>
      </c>
    </row>
    <row r="7" spans="2:7">
      <c r="B7" s="11" t="s">
        <v>34</v>
      </c>
      <c r="C7" s="15">
        <v>128</v>
      </c>
      <c r="D7" s="15" t="s">
        <v>33</v>
      </c>
    </row>
    <row r="8" spans="2:7">
      <c r="B8" s="63" t="s">
        <v>35</v>
      </c>
      <c r="C8" s="65">
        <f>SUM(C6:C7)</f>
        <v>281</v>
      </c>
      <c r="D8" s="15" t="s">
        <v>33</v>
      </c>
    </row>
    <row r="9" spans="2:7">
      <c r="B9" s="11" t="s">
        <v>36</v>
      </c>
      <c r="C9" s="69">
        <f>365-C10</f>
        <v>247</v>
      </c>
      <c r="D9" s="69" t="s">
        <v>33</v>
      </c>
      <c r="G9" s="64"/>
    </row>
    <row r="10" spans="2:7">
      <c r="B10" s="11" t="s">
        <v>37</v>
      </c>
      <c r="C10" s="69">
        <f>54*2+10</f>
        <v>118</v>
      </c>
      <c r="D10" s="69" t="s">
        <v>33</v>
      </c>
      <c r="G10" s="64"/>
    </row>
    <row r="11" spans="2:7">
      <c r="B11" s="11" t="s">
        <v>38</v>
      </c>
      <c r="C11" s="66">
        <v>0.5</v>
      </c>
      <c r="D11" s="66" t="s">
        <v>39</v>
      </c>
      <c r="G11" s="64"/>
    </row>
    <row r="12" spans="2:7">
      <c r="B12" s="11" t="s">
        <v>40</v>
      </c>
      <c r="C12" s="15">
        <v>2.5</v>
      </c>
      <c r="D12" s="66" t="s">
        <v>39</v>
      </c>
      <c r="G12" s="64"/>
    </row>
    <row r="13" spans="2:7">
      <c r="B13" s="11" t="s">
        <v>41</v>
      </c>
      <c r="C13" s="61">
        <v>12</v>
      </c>
      <c r="D13" s="61" t="s">
        <v>42</v>
      </c>
      <c r="G13" s="64"/>
    </row>
    <row r="14" spans="2:7">
      <c r="B14" s="11" t="s">
        <v>43</v>
      </c>
      <c r="C14" s="61">
        <v>21</v>
      </c>
      <c r="D14" s="61" t="s">
        <v>42</v>
      </c>
    </row>
    <row r="15" spans="2:7">
      <c r="B15" s="11" t="s">
        <v>44</v>
      </c>
      <c r="C15" s="61">
        <f>C9*C11*C13*C8+C10*C8*C12*C14</f>
        <v>2157237</v>
      </c>
      <c r="D15" s="61" t="s">
        <v>33</v>
      </c>
    </row>
    <row r="16" spans="2:7">
      <c r="B16" s="11" t="s">
        <v>45</v>
      </c>
      <c r="C16" s="61">
        <f>-C15*30%</f>
        <v>-647171.1</v>
      </c>
      <c r="D16" s="61" t="s">
        <v>33</v>
      </c>
    </row>
    <row r="17" spans="2:6">
      <c r="B17" s="12" t="s">
        <v>46</v>
      </c>
      <c r="C17" s="62">
        <f>SUM(C15:C16)</f>
        <v>1510065.9</v>
      </c>
      <c r="D17" s="62" t="s">
        <v>33</v>
      </c>
    </row>
    <row r="20" spans="2:6" s="9" customFormat="1"/>
    <row r="22" spans="2:6" ht="15.6">
      <c r="B22" s="13" t="s">
        <v>47</v>
      </c>
      <c r="C22" s="19" t="s">
        <v>48</v>
      </c>
      <c r="D22" s="19" t="s">
        <v>49</v>
      </c>
      <c r="E22" s="19" t="s">
        <v>29</v>
      </c>
      <c r="F22" s="19" t="s">
        <v>50</v>
      </c>
    </row>
    <row r="23" spans="2:6">
      <c r="B23" s="11" t="s">
        <v>51</v>
      </c>
      <c r="C23" s="15">
        <v>40</v>
      </c>
      <c r="D23" s="61">
        <v>7500</v>
      </c>
      <c r="E23" s="15" t="s">
        <v>52</v>
      </c>
      <c r="F23" s="61">
        <f>C23*50</f>
        <v>2000</v>
      </c>
    </row>
    <row r="24" spans="2:6">
      <c r="B24" s="11" t="s">
        <v>53</v>
      </c>
      <c r="C24" s="15">
        <v>40</v>
      </c>
      <c r="D24" s="61">
        <v>15000</v>
      </c>
      <c r="E24" s="15" t="s">
        <v>54</v>
      </c>
      <c r="F24" s="61">
        <f>C24*300</f>
        <v>12000</v>
      </c>
    </row>
    <row r="25" spans="2:6">
      <c r="B25" s="11" t="s">
        <v>55</v>
      </c>
      <c r="C25" s="15">
        <v>20</v>
      </c>
      <c r="D25" s="61">
        <v>40000</v>
      </c>
      <c r="E25" s="15" t="s">
        <v>56</v>
      </c>
      <c r="F25" s="61">
        <f>C25*700</f>
        <v>14000</v>
      </c>
    </row>
    <row r="26" spans="2:6">
      <c r="B26" s="11" t="s">
        <v>57</v>
      </c>
      <c r="C26" s="15">
        <v>12</v>
      </c>
      <c r="D26" s="61">
        <v>80000</v>
      </c>
      <c r="E26" s="15" t="s">
        <v>58</v>
      </c>
      <c r="F26" s="61">
        <v>324000</v>
      </c>
    </row>
    <row r="27" spans="2:6">
      <c r="B27" s="16" t="s">
        <v>59</v>
      </c>
      <c r="C27" s="17"/>
      <c r="D27" s="92">
        <f>D23*C23+D24*C24+D25*C25+D26*C26</f>
        <v>2660000</v>
      </c>
      <c r="E27" s="62" t="s">
        <v>33</v>
      </c>
      <c r="F27" s="62" t="s">
        <v>33</v>
      </c>
    </row>
    <row r="28" spans="2:6">
      <c r="B28" s="16" t="s">
        <v>60</v>
      </c>
      <c r="C28" s="17"/>
      <c r="D28" s="91">
        <v>2000000</v>
      </c>
      <c r="E28" s="61" t="s">
        <v>61</v>
      </c>
      <c r="F28" s="61" t="s">
        <v>33</v>
      </c>
    </row>
    <row r="29" spans="2:6">
      <c r="B29" s="16" t="s">
        <v>62</v>
      </c>
      <c r="D29" s="91">
        <f>884*64*12</f>
        <v>678912</v>
      </c>
      <c r="E29" s="61" t="s">
        <v>61</v>
      </c>
      <c r="F29" s="61" t="s">
        <v>33</v>
      </c>
    </row>
    <row r="30" spans="2:6">
      <c r="B30" s="16" t="s">
        <v>63</v>
      </c>
      <c r="C30" s="17"/>
      <c r="D30" s="91">
        <f>195000*12*20%</f>
        <v>468000</v>
      </c>
      <c r="E30" s="61" t="s">
        <v>64</v>
      </c>
      <c r="F30" s="61" t="s">
        <v>33</v>
      </c>
    </row>
    <row r="31" spans="2:6">
      <c r="B31" s="16" t="s">
        <v>65</v>
      </c>
      <c r="C31" s="17"/>
      <c r="D31" s="62">
        <f>SUM(D27:D30)</f>
        <v>5806912</v>
      </c>
      <c r="E31" s="62" t="s">
        <v>33</v>
      </c>
      <c r="F31" s="62" t="s">
        <v>33</v>
      </c>
    </row>
    <row r="32" spans="2:6">
      <c r="B32" s="45"/>
      <c r="C32" s="45"/>
      <c r="D32" s="46"/>
    </row>
    <row r="34" spans="2:6" s="9" customFormat="1"/>
    <row r="36" spans="2:6" ht="15.6">
      <c r="B36" s="13" t="s">
        <v>66</v>
      </c>
      <c r="C36" s="19" t="s">
        <v>67</v>
      </c>
      <c r="D36" s="19" t="s">
        <v>68</v>
      </c>
      <c r="E36" s="19" t="s">
        <v>69</v>
      </c>
      <c r="F36" s="19" t="s">
        <v>29</v>
      </c>
    </row>
    <row r="37" spans="2:6">
      <c r="B37" s="11" t="s">
        <v>70</v>
      </c>
      <c r="C37" s="18">
        <v>11492</v>
      </c>
      <c r="D37" s="20">
        <v>49</v>
      </c>
      <c r="E37" s="91">
        <f>D37*C37*12</f>
        <v>6757296</v>
      </c>
      <c r="F37" s="15" t="s">
        <v>71</v>
      </c>
    </row>
    <row r="38" spans="2:6">
      <c r="B38" s="11" t="s">
        <v>72</v>
      </c>
      <c r="C38" s="18">
        <v>553</v>
      </c>
      <c r="D38" s="20">
        <v>120</v>
      </c>
      <c r="E38" s="91">
        <f t="shared" ref="E38:E40" si="0">D38*C38*12</f>
        <v>796320</v>
      </c>
      <c r="F38" s="15" t="s">
        <v>71</v>
      </c>
    </row>
    <row r="39" spans="2:6">
      <c r="B39" s="11" t="s">
        <v>73</v>
      </c>
      <c r="C39" s="18">
        <v>1065</v>
      </c>
      <c r="D39" s="20">
        <v>120</v>
      </c>
      <c r="E39" s="91">
        <f t="shared" si="0"/>
        <v>1533600</v>
      </c>
      <c r="F39" s="15" t="s">
        <v>74</v>
      </c>
    </row>
    <row r="40" spans="2:6">
      <c r="B40" s="11" t="s">
        <v>75</v>
      </c>
      <c r="C40" s="18">
        <v>2200</v>
      </c>
      <c r="D40" s="20">
        <v>60</v>
      </c>
      <c r="E40" s="91">
        <f t="shared" si="0"/>
        <v>1584000</v>
      </c>
      <c r="F40" s="15" t="s">
        <v>74</v>
      </c>
    </row>
    <row r="41" spans="2:6">
      <c r="B41" s="115" t="s">
        <v>76</v>
      </c>
      <c r="C41" s="116"/>
      <c r="D41" s="117"/>
      <c r="E41" s="21">
        <f>SUM(E37:E40)</f>
        <v>10671216</v>
      </c>
      <c r="F41" s="21" t="s">
        <v>33</v>
      </c>
    </row>
    <row r="44" spans="2:6" s="9" customFormat="1"/>
    <row r="46" spans="2:6">
      <c r="B46" s="115" t="s">
        <v>77</v>
      </c>
      <c r="C46" s="116"/>
      <c r="D46" s="117"/>
      <c r="E46" s="21">
        <f>E41+D31+C17</f>
        <v>17988193.899999999</v>
      </c>
    </row>
  </sheetData>
  <mergeCells count="2">
    <mergeCell ref="B41:D41"/>
    <mergeCell ref="B46:D46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12C6-C6A0-4CD0-BEA9-26D05D9FF2C6}">
  <sheetPr>
    <tabColor rgb="FFFF0000"/>
  </sheetPr>
  <dimension ref="C2:AH26"/>
  <sheetViews>
    <sheetView showGridLines="0" zoomScale="90" zoomScaleNormal="90" workbookViewId="0">
      <selection activeCell="K17" sqref="K17"/>
    </sheetView>
  </sheetViews>
  <sheetFormatPr defaultRowHeight="14.45" outlineLevelCol="1"/>
  <cols>
    <col min="2" max="2" width="2.140625" customWidth="1"/>
    <col min="4" max="4" width="25" customWidth="1"/>
    <col min="5" max="14" width="8.7109375" customWidth="1"/>
    <col min="15" max="23" width="8.7109375" hidden="1" customWidth="1" outlineLevel="1"/>
    <col min="24" max="24" width="8.7109375" customWidth="1" collapsed="1"/>
    <col min="25" max="33" width="8.7109375" hidden="1" customWidth="1" outlineLevel="1"/>
    <col min="34" max="34" width="8.7109375" customWidth="1" collapsed="1"/>
  </cols>
  <sheetData>
    <row r="2" spans="3:34" ht="18">
      <c r="C2" s="22" t="s">
        <v>78</v>
      </c>
    </row>
    <row r="3" spans="3:34" ht="21">
      <c r="C3" s="118" t="s">
        <v>79</v>
      </c>
      <c r="D3" s="118"/>
      <c r="E3" s="36">
        <v>1</v>
      </c>
      <c r="F3" s="36">
        <v>2</v>
      </c>
      <c r="G3" s="36">
        <v>3</v>
      </c>
      <c r="H3" s="36">
        <v>4</v>
      </c>
      <c r="I3" s="36">
        <v>5</v>
      </c>
      <c r="J3" s="36">
        <v>6</v>
      </c>
      <c r="K3" s="36">
        <v>7</v>
      </c>
      <c r="L3" s="36">
        <v>8</v>
      </c>
      <c r="M3" s="36">
        <v>9</v>
      </c>
      <c r="N3" s="36">
        <v>10</v>
      </c>
      <c r="O3" s="36">
        <v>11</v>
      </c>
      <c r="P3" s="36">
        <v>12</v>
      </c>
      <c r="Q3" s="36">
        <v>13</v>
      </c>
      <c r="R3" s="36">
        <v>14</v>
      </c>
      <c r="S3" s="36">
        <v>15</v>
      </c>
      <c r="T3" s="36">
        <v>16</v>
      </c>
      <c r="U3" s="36">
        <v>17</v>
      </c>
      <c r="V3" s="36">
        <v>18</v>
      </c>
      <c r="W3" s="36">
        <v>19</v>
      </c>
      <c r="X3" s="36">
        <v>20</v>
      </c>
      <c r="Y3" s="36">
        <v>21</v>
      </c>
      <c r="Z3" s="36">
        <v>22</v>
      </c>
      <c r="AA3" s="36">
        <v>23</v>
      </c>
      <c r="AB3" s="36">
        <v>24</v>
      </c>
      <c r="AC3" s="36">
        <v>25</v>
      </c>
      <c r="AD3" s="36">
        <v>26</v>
      </c>
      <c r="AE3" s="36">
        <v>27</v>
      </c>
      <c r="AF3" s="36">
        <v>28</v>
      </c>
      <c r="AG3" s="36">
        <v>29</v>
      </c>
      <c r="AH3" s="36">
        <v>30</v>
      </c>
    </row>
    <row r="4" spans="3:34" ht="6.75" customHeight="1"/>
    <row r="5" spans="3:34">
      <c r="C5" s="41" t="s">
        <v>80</v>
      </c>
      <c r="D5" s="42"/>
      <c r="E5" s="43">
        <f t="shared" ref="E5" si="0">(E6+E15+E24)</f>
        <v>0</v>
      </c>
      <c r="F5" s="43">
        <f t="shared" ref="F5" si="1">(F6+F15+F24)</f>
        <v>0</v>
      </c>
      <c r="G5" s="43">
        <f t="shared" ref="G5" si="2">(G6+G15+G24)</f>
        <v>0</v>
      </c>
      <c r="H5" s="43">
        <f>(H6+H15+H24)</f>
        <v>5182.2237699999996</v>
      </c>
      <c r="I5" s="43">
        <f t="shared" ref="I5:AH5" si="3">(I6+I15+I24)</f>
        <v>8257.9660700000004</v>
      </c>
      <c r="J5" s="43">
        <f t="shared" si="3"/>
        <v>12228.349424999999</v>
      </c>
      <c r="K5" s="43">
        <f t="shared" si="3"/>
        <v>12983.711024999999</v>
      </c>
      <c r="L5" s="43">
        <f t="shared" si="3"/>
        <v>14494.434225000001</v>
      </c>
      <c r="M5" s="43">
        <f t="shared" si="3"/>
        <v>14494.434225000001</v>
      </c>
      <c r="N5" s="43">
        <f t="shared" si="3"/>
        <v>14494.434225000001</v>
      </c>
      <c r="O5" s="43">
        <f t="shared" si="3"/>
        <v>14494.434225000001</v>
      </c>
      <c r="P5" s="43">
        <f t="shared" si="3"/>
        <v>14494.434225000001</v>
      </c>
      <c r="Q5" s="43">
        <f t="shared" si="3"/>
        <v>14494.434225000001</v>
      </c>
      <c r="R5" s="43">
        <f t="shared" si="3"/>
        <v>14494.434225000001</v>
      </c>
      <c r="S5" s="43">
        <f t="shared" si="3"/>
        <v>14494.434225000001</v>
      </c>
      <c r="T5" s="43">
        <f t="shared" si="3"/>
        <v>14494.434225000001</v>
      </c>
      <c r="U5" s="43">
        <f t="shared" si="3"/>
        <v>14494.434225000001</v>
      </c>
      <c r="V5" s="43">
        <f t="shared" si="3"/>
        <v>14494.434225000001</v>
      </c>
      <c r="W5" s="43">
        <f t="shared" si="3"/>
        <v>14494.434225000001</v>
      </c>
      <c r="X5" s="43">
        <f t="shared" si="3"/>
        <v>14494.434225000001</v>
      </c>
      <c r="Y5" s="43">
        <f t="shared" si="3"/>
        <v>14494.434225000001</v>
      </c>
      <c r="Z5" s="43">
        <f t="shared" si="3"/>
        <v>14494.434225000001</v>
      </c>
      <c r="AA5" s="43">
        <f t="shared" si="3"/>
        <v>14494.434225000001</v>
      </c>
      <c r="AB5" s="43">
        <f t="shared" si="3"/>
        <v>14494.434225000001</v>
      </c>
      <c r="AC5" s="43">
        <f t="shared" si="3"/>
        <v>14494.434225000001</v>
      </c>
      <c r="AD5" s="43">
        <f t="shared" si="3"/>
        <v>14494.434225000001</v>
      </c>
      <c r="AE5" s="43">
        <f t="shared" si="3"/>
        <v>14494.434225000001</v>
      </c>
      <c r="AF5" s="43">
        <f t="shared" si="3"/>
        <v>14494.434225000001</v>
      </c>
      <c r="AG5" s="43">
        <f t="shared" si="3"/>
        <v>14494.434225000001</v>
      </c>
      <c r="AH5" s="43">
        <f t="shared" si="3"/>
        <v>14494.434225000001</v>
      </c>
    </row>
    <row r="6" spans="3:34">
      <c r="C6" s="49" t="s">
        <v>81</v>
      </c>
      <c r="D6" s="50"/>
      <c r="E6" s="51">
        <f t="shared" ref="E6:AG6" si="4">E7+E9+E11+E13</f>
        <v>0</v>
      </c>
      <c r="F6" s="51">
        <f t="shared" si="4"/>
        <v>0</v>
      </c>
      <c r="G6" s="51">
        <f t="shared" si="4"/>
        <v>0</v>
      </c>
      <c r="H6" s="51">
        <f t="shared" si="4"/>
        <v>3447.2039999999997</v>
      </c>
      <c r="I6" s="51">
        <f t="shared" si="4"/>
        <v>4599.4771200000005</v>
      </c>
      <c r="J6" s="51">
        <f t="shared" si="4"/>
        <v>6270.8879999999999</v>
      </c>
      <c r="K6" s="51">
        <f t="shared" si="4"/>
        <v>7026.2496000000001</v>
      </c>
      <c r="L6" s="51">
        <f t="shared" si="4"/>
        <v>8536.9728000000014</v>
      </c>
      <c r="M6" s="51">
        <f t="shared" si="4"/>
        <v>8536.9728000000014</v>
      </c>
      <c r="N6" s="51">
        <f t="shared" si="4"/>
        <v>8536.9728000000014</v>
      </c>
      <c r="O6" s="51">
        <f t="shared" si="4"/>
        <v>8536.9728000000014</v>
      </c>
      <c r="P6" s="51">
        <f t="shared" si="4"/>
        <v>8536.9728000000014</v>
      </c>
      <c r="Q6" s="51">
        <f t="shared" si="4"/>
        <v>8536.9728000000014</v>
      </c>
      <c r="R6" s="51">
        <f t="shared" si="4"/>
        <v>8536.9728000000014</v>
      </c>
      <c r="S6" s="51">
        <f t="shared" si="4"/>
        <v>8536.9728000000014</v>
      </c>
      <c r="T6" s="51">
        <f t="shared" si="4"/>
        <v>8536.9728000000014</v>
      </c>
      <c r="U6" s="51">
        <f t="shared" si="4"/>
        <v>8536.9728000000014</v>
      </c>
      <c r="V6" s="51">
        <f t="shared" si="4"/>
        <v>8536.9728000000014</v>
      </c>
      <c r="W6" s="51">
        <f t="shared" si="4"/>
        <v>8536.9728000000014</v>
      </c>
      <c r="X6" s="51">
        <f t="shared" si="4"/>
        <v>8536.9728000000014</v>
      </c>
      <c r="Y6" s="51">
        <f t="shared" si="4"/>
        <v>8536.9728000000014</v>
      </c>
      <c r="Z6" s="51">
        <f t="shared" si="4"/>
        <v>8536.9728000000014</v>
      </c>
      <c r="AA6" s="51">
        <f t="shared" si="4"/>
        <v>8536.9728000000014</v>
      </c>
      <c r="AB6" s="51">
        <f t="shared" si="4"/>
        <v>8536.9728000000014</v>
      </c>
      <c r="AC6" s="51">
        <f t="shared" si="4"/>
        <v>8536.9728000000014</v>
      </c>
      <c r="AD6" s="51">
        <f t="shared" si="4"/>
        <v>8536.9728000000014</v>
      </c>
      <c r="AE6" s="51">
        <f t="shared" si="4"/>
        <v>8536.9728000000014</v>
      </c>
      <c r="AF6" s="51">
        <f t="shared" si="4"/>
        <v>8536.9728000000014</v>
      </c>
      <c r="AG6" s="51">
        <f t="shared" si="4"/>
        <v>8536.9728000000014</v>
      </c>
      <c r="AH6" s="51">
        <f>AH7+AH9+AH11+AH13</f>
        <v>8536.9728000000014</v>
      </c>
    </row>
    <row r="7" spans="3:34">
      <c r="C7" s="67" t="s">
        <v>70</v>
      </c>
      <c r="D7" s="48"/>
      <c r="E7" s="56">
        <f>'Receitas por categoria'!$C$37*'Receitas por categoria'!$D$37*12*E8/1000</f>
        <v>0</v>
      </c>
      <c r="F7" s="56">
        <f>'Receitas por categoria'!$C$37*'Receitas por categoria'!$D$37*12*F8/1000</f>
        <v>0</v>
      </c>
      <c r="G7" s="56">
        <f>'Receitas por categoria'!$C$37*'Receitas por categoria'!$D$37*12*G8/1000</f>
        <v>0</v>
      </c>
      <c r="H7" s="56">
        <f>'Receitas por categoria'!$C$37*'Receitas por categoria'!$D$37*12*H8/1000</f>
        <v>1689.3240000000001</v>
      </c>
      <c r="I7" s="56">
        <f>'Receitas por categoria'!$C$37*'Receitas por categoria'!$D$37*12*I8/1000</f>
        <v>2162.3347200000003</v>
      </c>
      <c r="J7" s="56">
        <f>'Receitas por categoria'!$C$37*'Receitas por categoria'!$D$37*12*J8/1000</f>
        <v>3378.6480000000001</v>
      </c>
      <c r="K7" s="56">
        <f>'Receitas por categoria'!$C$37*'Receitas por categoria'!$D$37*12*K8/1000</f>
        <v>4054.3775999999998</v>
      </c>
      <c r="L7" s="56">
        <f>'Receitas por categoria'!$C$37*'Receitas por categoria'!$D$37*12*L8/1000</f>
        <v>5405.8368000000009</v>
      </c>
      <c r="M7" s="56">
        <f>'Receitas por categoria'!$C$37*'Receitas por categoria'!$D$37*12*M8/1000</f>
        <v>5405.8368000000009</v>
      </c>
      <c r="N7" s="56">
        <f>'Receitas por categoria'!$C$37*'Receitas por categoria'!$D$37*12*N8/1000</f>
        <v>5405.8368000000009</v>
      </c>
      <c r="O7" s="56">
        <f>'Receitas por categoria'!$C$37*'Receitas por categoria'!$D$37*12*O8/1000</f>
        <v>5405.8368000000009</v>
      </c>
      <c r="P7" s="56">
        <f>'Receitas por categoria'!$C$37*'Receitas por categoria'!$D$37*12*P8/1000</f>
        <v>5405.8368000000009</v>
      </c>
      <c r="Q7" s="56">
        <f>'Receitas por categoria'!$C$37*'Receitas por categoria'!$D$37*12*Q8/1000</f>
        <v>5405.8368000000009</v>
      </c>
      <c r="R7" s="56">
        <f>'Receitas por categoria'!$C$37*'Receitas por categoria'!$D$37*12*R8/1000</f>
        <v>5405.8368000000009</v>
      </c>
      <c r="S7" s="56">
        <f>'Receitas por categoria'!$C$37*'Receitas por categoria'!$D$37*12*S8/1000</f>
        <v>5405.8368000000009</v>
      </c>
      <c r="T7" s="56">
        <f>'Receitas por categoria'!$C$37*'Receitas por categoria'!$D$37*12*T8/1000</f>
        <v>5405.8368000000009</v>
      </c>
      <c r="U7" s="56">
        <f>'Receitas por categoria'!$C$37*'Receitas por categoria'!$D$37*12*U8/1000</f>
        <v>5405.8368000000009</v>
      </c>
      <c r="V7" s="56">
        <f>'Receitas por categoria'!$C$37*'Receitas por categoria'!$D$37*12*V8/1000</f>
        <v>5405.8368000000009</v>
      </c>
      <c r="W7" s="56">
        <f>'Receitas por categoria'!$C$37*'Receitas por categoria'!$D$37*12*W8/1000</f>
        <v>5405.8368000000009</v>
      </c>
      <c r="X7" s="56">
        <f>'Receitas por categoria'!$C$37*'Receitas por categoria'!$D$37*12*X8/1000</f>
        <v>5405.8368000000009</v>
      </c>
      <c r="Y7" s="56">
        <f>'Receitas por categoria'!$C$37*'Receitas por categoria'!$D$37*12*Y8/1000</f>
        <v>5405.8368000000009</v>
      </c>
      <c r="Z7" s="56">
        <f>'Receitas por categoria'!$C$37*'Receitas por categoria'!$D$37*12*Z8/1000</f>
        <v>5405.8368000000009</v>
      </c>
      <c r="AA7" s="56">
        <f>'Receitas por categoria'!$C$37*'Receitas por categoria'!$D$37*12*AA8/1000</f>
        <v>5405.8368000000009</v>
      </c>
      <c r="AB7" s="56">
        <f>'Receitas por categoria'!$C$37*'Receitas por categoria'!$D$37*12*AB8/1000</f>
        <v>5405.8368000000009</v>
      </c>
      <c r="AC7" s="56">
        <f>'Receitas por categoria'!$C$37*'Receitas por categoria'!$D$37*12*AC8/1000</f>
        <v>5405.8368000000009</v>
      </c>
      <c r="AD7" s="56">
        <f>'Receitas por categoria'!$C$37*'Receitas por categoria'!$D$37*12*AD8/1000</f>
        <v>5405.8368000000009</v>
      </c>
      <c r="AE7" s="56">
        <f>'Receitas por categoria'!$C$37*'Receitas por categoria'!$D$37*12*AE8/1000</f>
        <v>5405.8368000000009</v>
      </c>
      <c r="AF7" s="56">
        <f>'Receitas por categoria'!$C$37*'Receitas por categoria'!$D$37*12*AF8/1000</f>
        <v>5405.8368000000009</v>
      </c>
      <c r="AG7" s="56">
        <f>'Receitas por categoria'!$C$37*'Receitas por categoria'!$D$37*12*AG8/1000</f>
        <v>5405.8368000000009</v>
      </c>
      <c r="AH7" s="56">
        <f>'Receitas por categoria'!$C$37*'Receitas por categoria'!$D$37*12*AH8/1000</f>
        <v>5405.8368000000009</v>
      </c>
    </row>
    <row r="8" spans="3:34" s="55" customFormat="1">
      <c r="C8" s="53" t="s">
        <v>82</v>
      </c>
      <c r="D8" s="54"/>
      <c r="E8" s="57">
        <v>0</v>
      </c>
      <c r="F8" s="57">
        <v>0</v>
      </c>
      <c r="G8" s="57">
        <v>0</v>
      </c>
      <c r="H8" s="57">
        <v>0.25</v>
      </c>
      <c r="I8" s="57">
        <v>0.32</v>
      </c>
      <c r="J8" s="57">
        <v>0.5</v>
      </c>
      <c r="K8" s="57">
        <v>0.6</v>
      </c>
      <c r="L8" s="57">
        <v>0.8</v>
      </c>
      <c r="M8" s="57">
        <f t="shared" ref="K8:AF12" si="5">L8</f>
        <v>0.8</v>
      </c>
      <c r="N8" s="57">
        <f t="shared" si="5"/>
        <v>0.8</v>
      </c>
      <c r="O8" s="57">
        <f t="shared" si="5"/>
        <v>0.8</v>
      </c>
      <c r="P8" s="57">
        <f t="shared" si="5"/>
        <v>0.8</v>
      </c>
      <c r="Q8" s="57">
        <f t="shared" si="5"/>
        <v>0.8</v>
      </c>
      <c r="R8" s="57">
        <f t="shared" si="5"/>
        <v>0.8</v>
      </c>
      <c r="S8" s="57">
        <f t="shared" si="5"/>
        <v>0.8</v>
      </c>
      <c r="T8" s="57">
        <f t="shared" si="5"/>
        <v>0.8</v>
      </c>
      <c r="U8" s="57">
        <f t="shared" si="5"/>
        <v>0.8</v>
      </c>
      <c r="V8" s="57">
        <f t="shared" si="5"/>
        <v>0.8</v>
      </c>
      <c r="W8" s="57">
        <f t="shared" si="5"/>
        <v>0.8</v>
      </c>
      <c r="X8" s="57">
        <f t="shared" si="5"/>
        <v>0.8</v>
      </c>
      <c r="Y8" s="57">
        <f t="shared" si="5"/>
        <v>0.8</v>
      </c>
      <c r="Z8" s="57">
        <f t="shared" si="5"/>
        <v>0.8</v>
      </c>
      <c r="AA8" s="57">
        <f t="shared" si="5"/>
        <v>0.8</v>
      </c>
      <c r="AB8" s="57">
        <f t="shared" si="5"/>
        <v>0.8</v>
      </c>
      <c r="AC8" s="57">
        <f t="shared" si="5"/>
        <v>0.8</v>
      </c>
      <c r="AD8" s="57">
        <f t="shared" si="5"/>
        <v>0.8</v>
      </c>
      <c r="AE8" s="57">
        <f t="shared" si="5"/>
        <v>0.8</v>
      </c>
      <c r="AF8" s="57">
        <f t="shared" si="5"/>
        <v>0.8</v>
      </c>
      <c r="AG8" s="57">
        <f t="shared" ref="AG8" si="6">AF8</f>
        <v>0.8</v>
      </c>
      <c r="AH8" s="57">
        <f t="shared" ref="AH8" si="7">AG8</f>
        <v>0.8</v>
      </c>
    </row>
    <row r="9" spans="3:34">
      <c r="C9" s="67" t="s">
        <v>72</v>
      </c>
      <c r="D9" s="48"/>
      <c r="E9" s="58">
        <f>'Receitas por categoria'!$C$38*'Receitas por categoria'!$D$38*12*E10/1000</f>
        <v>0</v>
      </c>
      <c r="F9" s="58">
        <f>'Receitas por categoria'!$C$38*'Receitas por categoria'!$D$38*12*F10/1000</f>
        <v>0</v>
      </c>
      <c r="G9" s="58">
        <f>'Receitas por categoria'!$C$38*'Receitas por categoria'!$D$38*12*G10/1000</f>
        <v>0</v>
      </c>
      <c r="H9" s="58">
        <f>'Receitas por categoria'!$C$38*'Receitas por categoria'!$D$38*12*H10/1000</f>
        <v>199.08</v>
      </c>
      <c r="I9" s="58">
        <f>'Receitas por categoria'!$C$38*'Receitas por categoria'!$D$38*12*I10/1000</f>
        <v>254.82239999999999</v>
      </c>
      <c r="J9" s="58">
        <f>'Receitas por categoria'!$C$38*'Receitas por categoria'!$D$38*12*J10/1000</f>
        <v>398.16</v>
      </c>
      <c r="K9" s="58">
        <f>'Receitas por categoria'!$C$38*'Receitas por categoria'!$D$38*12*K10/1000</f>
        <v>477.79199999999997</v>
      </c>
      <c r="L9" s="58">
        <f>'Receitas por categoria'!$C$38*'Receitas por categoria'!$D$38*12*L10/1000</f>
        <v>637.05600000000004</v>
      </c>
      <c r="M9" s="58">
        <f>'Receitas por categoria'!$C$38*'Receitas por categoria'!$D$38*12*M10/1000</f>
        <v>637.05600000000004</v>
      </c>
      <c r="N9" s="58">
        <f>'Receitas por categoria'!$C$38*'Receitas por categoria'!$D$38*12*N10/1000</f>
        <v>637.05600000000004</v>
      </c>
      <c r="O9" s="58">
        <f>'Receitas por categoria'!$C$38*'Receitas por categoria'!$D$38*12*O10/1000</f>
        <v>637.05600000000004</v>
      </c>
      <c r="P9" s="58">
        <f>'Receitas por categoria'!$C$38*'Receitas por categoria'!$D$38*12*P10/1000</f>
        <v>637.05600000000004</v>
      </c>
      <c r="Q9" s="58">
        <f>'Receitas por categoria'!$C$38*'Receitas por categoria'!$D$38*12*Q10/1000</f>
        <v>637.05600000000004</v>
      </c>
      <c r="R9" s="58">
        <f>'Receitas por categoria'!$C$38*'Receitas por categoria'!$D$38*12*R10/1000</f>
        <v>637.05600000000004</v>
      </c>
      <c r="S9" s="58">
        <f>'Receitas por categoria'!$C$38*'Receitas por categoria'!$D$38*12*S10/1000</f>
        <v>637.05600000000004</v>
      </c>
      <c r="T9" s="58">
        <f>'Receitas por categoria'!$C$38*'Receitas por categoria'!$D$38*12*T10/1000</f>
        <v>637.05600000000004</v>
      </c>
      <c r="U9" s="58">
        <f>'Receitas por categoria'!$C$38*'Receitas por categoria'!$D$38*12*U10/1000</f>
        <v>637.05600000000004</v>
      </c>
      <c r="V9" s="58">
        <f>'Receitas por categoria'!$C$38*'Receitas por categoria'!$D$38*12*V10/1000</f>
        <v>637.05600000000004</v>
      </c>
      <c r="W9" s="58">
        <f>'Receitas por categoria'!$C$38*'Receitas por categoria'!$D$38*12*W10/1000</f>
        <v>637.05600000000004</v>
      </c>
      <c r="X9" s="58">
        <f>'Receitas por categoria'!$C$38*'Receitas por categoria'!$D$38*12*X10/1000</f>
        <v>637.05600000000004</v>
      </c>
      <c r="Y9" s="58">
        <f>'Receitas por categoria'!$C$38*'Receitas por categoria'!$D$38*12*Y10/1000</f>
        <v>637.05600000000004</v>
      </c>
      <c r="Z9" s="58">
        <f>'Receitas por categoria'!$C$38*'Receitas por categoria'!$D$38*12*Z10/1000</f>
        <v>637.05600000000004</v>
      </c>
      <c r="AA9" s="58">
        <f>'Receitas por categoria'!$C$38*'Receitas por categoria'!$D$38*12*AA10/1000</f>
        <v>637.05600000000004</v>
      </c>
      <c r="AB9" s="58">
        <f>'Receitas por categoria'!$C$38*'Receitas por categoria'!$D$38*12*AB10/1000</f>
        <v>637.05600000000004</v>
      </c>
      <c r="AC9" s="58">
        <f>'Receitas por categoria'!$C$38*'Receitas por categoria'!$D$38*12*AC10/1000</f>
        <v>637.05600000000004</v>
      </c>
      <c r="AD9" s="58">
        <f>'Receitas por categoria'!$C$38*'Receitas por categoria'!$D$38*12*AD10/1000</f>
        <v>637.05600000000004</v>
      </c>
      <c r="AE9" s="58">
        <f>'Receitas por categoria'!$C$38*'Receitas por categoria'!$D$38*12*AE10/1000</f>
        <v>637.05600000000004</v>
      </c>
      <c r="AF9" s="58">
        <f>'Receitas por categoria'!$C$38*'Receitas por categoria'!$D$38*12*AF10/1000</f>
        <v>637.05600000000004</v>
      </c>
      <c r="AG9" s="58">
        <f>'Receitas por categoria'!$C$38*'Receitas por categoria'!$D$38*12*AG10/1000</f>
        <v>637.05600000000004</v>
      </c>
      <c r="AH9" s="58">
        <f>'Receitas por categoria'!$C$38*'Receitas por categoria'!$D$38*12*AH10/1000</f>
        <v>637.05600000000004</v>
      </c>
    </row>
    <row r="10" spans="3:34" s="2" customFormat="1">
      <c r="C10" s="52" t="s">
        <v>82</v>
      </c>
      <c r="D10" s="47"/>
      <c r="E10" s="59">
        <v>0</v>
      </c>
      <c r="F10" s="59">
        <v>0</v>
      </c>
      <c r="G10" s="59">
        <v>0</v>
      </c>
      <c r="H10" s="57">
        <v>0.25</v>
      </c>
      <c r="I10" s="57">
        <v>0.32</v>
      </c>
      <c r="J10" s="57">
        <v>0.5</v>
      </c>
      <c r="K10" s="57">
        <v>0.6</v>
      </c>
      <c r="L10" s="57">
        <v>0.8</v>
      </c>
      <c r="M10" s="57">
        <f t="shared" ref="M10" si="8">L10</f>
        <v>0.8</v>
      </c>
      <c r="N10" s="57">
        <f t="shared" ref="N10" si="9">M10</f>
        <v>0.8</v>
      </c>
      <c r="O10" s="57">
        <f t="shared" ref="O10" si="10">N10</f>
        <v>0.8</v>
      </c>
      <c r="P10" s="57">
        <f t="shared" ref="P10" si="11">O10</f>
        <v>0.8</v>
      </c>
      <c r="Q10" s="57">
        <f t="shared" ref="Q10" si="12">P10</f>
        <v>0.8</v>
      </c>
      <c r="R10" s="57">
        <f t="shared" ref="R10" si="13">Q10</f>
        <v>0.8</v>
      </c>
      <c r="S10" s="57">
        <f t="shared" ref="S10" si="14">R10</f>
        <v>0.8</v>
      </c>
      <c r="T10" s="57">
        <f t="shared" ref="T10" si="15">S10</f>
        <v>0.8</v>
      </c>
      <c r="U10" s="57">
        <f t="shared" ref="U10" si="16">T10</f>
        <v>0.8</v>
      </c>
      <c r="V10" s="57">
        <f t="shared" ref="V10" si="17">U10</f>
        <v>0.8</v>
      </c>
      <c r="W10" s="57">
        <f t="shared" ref="W10" si="18">V10</f>
        <v>0.8</v>
      </c>
      <c r="X10" s="57">
        <f t="shared" ref="X10" si="19">W10</f>
        <v>0.8</v>
      </c>
      <c r="Y10" s="57">
        <f t="shared" ref="Y10" si="20">X10</f>
        <v>0.8</v>
      </c>
      <c r="Z10" s="57">
        <f t="shared" ref="Z10" si="21">Y10</f>
        <v>0.8</v>
      </c>
      <c r="AA10" s="57">
        <f t="shared" ref="AA10" si="22">Z10</f>
        <v>0.8</v>
      </c>
      <c r="AB10" s="57">
        <f t="shared" ref="AB10" si="23">AA10</f>
        <v>0.8</v>
      </c>
      <c r="AC10" s="57">
        <f t="shared" ref="AC10" si="24">AB10</f>
        <v>0.8</v>
      </c>
      <c r="AD10" s="57">
        <f t="shared" ref="AD10" si="25">AC10</f>
        <v>0.8</v>
      </c>
      <c r="AE10" s="57">
        <f t="shared" ref="AE10" si="26">AD10</f>
        <v>0.8</v>
      </c>
      <c r="AF10" s="57">
        <f t="shared" ref="AF10" si="27">AE10</f>
        <v>0.8</v>
      </c>
      <c r="AG10" s="57">
        <f t="shared" ref="AG10" si="28">AF10</f>
        <v>0.8</v>
      </c>
      <c r="AH10" s="57">
        <f t="shared" ref="AH10" si="29">AG10</f>
        <v>0.8</v>
      </c>
    </row>
    <row r="11" spans="3:34">
      <c r="C11" s="68" t="s">
        <v>83</v>
      </c>
      <c r="D11" s="24"/>
      <c r="E11" s="58">
        <f>'Receitas por categoria'!$C$39*'Receitas por categoria'!$D$39*12*E12/1000</f>
        <v>0</v>
      </c>
      <c r="F11" s="58">
        <f>'Receitas por categoria'!$C$39*'Receitas por categoria'!$D$39*12*F12/1000</f>
        <v>0</v>
      </c>
      <c r="G11" s="58">
        <f>'Receitas por categoria'!$C$39*'Receitas por categoria'!$D$39*12*G12/1000</f>
        <v>0</v>
      </c>
      <c r="H11" s="58">
        <f>'Receitas por categoria'!$C$39*'Receitas por categoria'!$D$39*12*H12/1000</f>
        <v>766.8</v>
      </c>
      <c r="I11" s="58">
        <f>'Receitas por categoria'!$C$39*'Receitas por categoria'!$D$39*12*I12/1000</f>
        <v>1073.52</v>
      </c>
      <c r="J11" s="58">
        <f>'Receitas por categoria'!$C$39*'Receitas por categoria'!$D$39*12*J12/1000</f>
        <v>1226.8800000000001</v>
      </c>
      <c r="K11" s="58">
        <f>'Receitas por categoria'!$C$39*'Receitas por categoria'!$D$39*12*K12/1000</f>
        <v>1226.8800000000001</v>
      </c>
      <c r="L11" s="58">
        <f>'Receitas por categoria'!$C$39*'Receitas por categoria'!$D$39*12*L12/1000</f>
        <v>1226.8800000000001</v>
      </c>
      <c r="M11" s="58">
        <f>'Receitas por categoria'!$C$39*'Receitas por categoria'!$D$39*12*M12/1000</f>
        <v>1226.8800000000001</v>
      </c>
      <c r="N11" s="58">
        <f>'Receitas por categoria'!$C$39*'Receitas por categoria'!$D$39*12*N12/1000</f>
        <v>1226.8800000000001</v>
      </c>
      <c r="O11" s="58">
        <f>'Receitas por categoria'!$C$39*'Receitas por categoria'!$D$39*12*O12/1000</f>
        <v>1226.8800000000001</v>
      </c>
      <c r="P11" s="58">
        <f>'Receitas por categoria'!$C$39*'Receitas por categoria'!$D$39*12*P12/1000</f>
        <v>1226.8800000000001</v>
      </c>
      <c r="Q11" s="58">
        <f>'Receitas por categoria'!$C$39*'Receitas por categoria'!$D$39*12*Q12/1000</f>
        <v>1226.8800000000001</v>
      </c>
      <c r="R11" s="58">
        <f>'Receitas por categoria'!$C$39*'Receitas por categoria'!$D$39*12*R12/1000</f>
        <v>1226.8800000000001</v>
      </c>
      <c r="S11" s="58">
        <f>'Receitas por categoria'!$C$39*'Receitas por categoria'!$D$39*12*S12/1000</f>
        <v>1226.8800000000001</v>
      </c>
      <c r="T11" s="58">
        <f>'Receitas por categoria'!$C$39*'Receitas por categoria'!$D$39*12*T12/1000</f>
        <v>1226.8800000000001</v>
      </c>
      <c r="U11" s="58">
        <f>'Receitas por categoria'!$C$39*'Receitas por categoria'!$D$39*12*U12/1000</f>
        <v>1226.8800000000001</v>
      </c>
      <c r="V11" s="58">
        <f>'Receitas por categoria'!$C$39*'Receitas por categoria'!$D$39*12*V12/1000</f>
        <v>1226.8800000000001</v>
      </c>
      <c r="W11" s="58">
        <f>'Receitas por categoria'!$C$39*'Receitas por categoria'!$D$39*12*W12/1000</f>
        <v>1226.8800000000001</v>
      </c>
      <c r="X11" s="58">
        <f>'Receitas por categoria'!$C$39*'Receitas por categoria'!$D$39*12*X12/1000</f>
        <v>1226.8800000000001</v>
      </c>
      <c r="Y11" s="58">
        <f>'Receitas por categoria'!$C$39*'Receitas por categoria'!$D$39*12*Y12/1000</f>
        <v>1226.8800000000001</v>
      </c>
      <c r="Z11" s="58">
        <f>'Receitas por categoria'!$C$39*'Receitas por categoria'!$D$39*12*Z12/1000</f>
        <v>1226.8800000000001</v>
      </c>
      <c r="AA11" s="58">
        <f>'Receitas por categoria'!$C$39*'Receitas por categoria'!$D$39*12*AA12/1000</f>
        <v>1226.8800000000001</v>
      </c>
      <c r="AB11" s="58">
        <f>'Receitas por categoria'!$C$39*'Receitas por categoria'!$D$39*12*AB12/1000</f>
        <v>1226.8800000000001</v>
      </c>
      <c r="AC11" s="58">
        <f>'Receitas por categoria'!$C$39*'Receitas por categoria'!$D$39*12*AC12/1000</f>
        <v>1226.8800000000001</v>
      </c>
      <c r="AD11" s="58">
        <f>'Receitas por categoria'!$C$39*'Receitas por categoria'!$D$39*12*AD12/1000</f>
        <v>1226.8800000000001</v>
      </c>
      <c r="AE11" s="58">
        <f>'Receitas por categoria'!$C$39*'Receitas por categoria'!$D$39*12*AE12/1000</f>
        <v>1226.8800000000001</v>
      </c>
      <c r="AF11" s="58">
        <f>'Receitas por categoria'!$C$39*'Receitas por categoria'!$D$39*12*AF12/1000</f>
        <v>1226.8800000000001</v>
      </c>
      <c r="AG11" s="58">
        <f>'Receitas por categoria'!$C$39*'Receitas por categoria'!$D$39*12*AG12/1000</f>
        <v>1226.8800000000001</v>
      </c>
      <c r="AH11" s="58">
        <f>'Receitas por categoria'!$C$39*'Receitas por categoria'!$D$39*12*AH12/1000</f>
        <v>1226.8800000000001</v>
      </c>
    </row>
    <row r="12" spans="3:34" s="55" customFormat="1">
      <c r="C12" s="53" t="s">
        <v>82</v>
      </c>
      <c r="D12" s="54"/>
      <c r="E12" s="57">
        <v>0</v>
      </c>
      <c r="F12" s="57">
        <v>0</v>
      </c>
      <c r="G12" s="57">
        <v>0</v>
      </c>
      <c r="H12" s="57">
        <v>0.5</v>
      </c>
      <c r="I12" s="57">
        <v>0.7</v>
      </c>
      <c r="J12" s="57">
        <v>0.8</v>
      </c>
      <c r="K12" s="57">
        <f t="shared" si="5"/>
        <v>0.8</v>
      </c>
      <c r="L12" s="57">
        <f t="shared" si="5"/>
        <v>0.8</v>
      </c>
      <c r="M12" s="57">
        <f t="shared" si="5"/>
        <v>0.8</v>
      </c>
      <c r="N12" s="57">
        <f t="shared" si="5"/>
        <v>0.8</v>
      </c>
      <c r="O12" s="57">
        <f t="shared" si="5"/>
        <v>0.8</v>
      </c>
      <c r="P12" s="57">
        <f t="shared" si="5"/>
        <v>0.8</v>
      </c>
      <c r="Q12" s="57">
        <f t="shared" si="5"/>
        <v>0.8</v>
      </c>
      <c r="R12" s="57">
        <f t="shared" si="5"/>
        <v>0.8</v>
      </c>
      <c r="S12" s="57">
        <f t="shared" si="5"/>
        <v>0.8</v>
      </c>
      <c r="T12" s="57">
        <f t="shared" si="5"/>
        <v>0.8</v>
      </c>
      <c r="U12" s="57">
        <f t="shared" si="5"/>
        <v>0.8</v>
      </c>
      <c r="V12" s="57">
        <f t="shared" si="5"/>
        <v>0.8</v>
      </c>
      <c r="W12" s="57">
        <f t="shared" si="5"/>
        <v>0.8</v>
      </c>
      <c r="X12" s="57">
        <f t="shared" si="5"/>
        <v>0.8</v>
      </c>
      <c r="Y12" s="57">
        <f t="shared" si="5"/>
        <v>0.8</v>
      </c>
      <c r="Z12" s="57">
        <f t="shared" si="5"/>
        <v>0.8</v>
      </c>
      <c r="AA12" s="57">
        <f t="shared" si="5"/>
        <v>0.8</v>
      </c>
      <c r="AB12" s="57">
        <f t="shared" si="5"/>
        <v>0.8</v>
      </c>
      <c r="AC12" s="57">
        <f t="shared" si="5"/>
        <v>0.8</v>
      </c>
      <c r="AD12" s="57">
        <f t="shared" si="5"/>
        <v>0.8</v>
      </c>
      <c r="AE12" s="57">
        <f t="shared" si="5"/>
        <v>0.8</v>
      </c>
      <c r="AF12" s="57">
        <f t="shared" si="5"/>
        <v>0.8</v>
      </c>
      <c r="AG12" s="57">
        <f t="shared" ref="AG12" si="30">AF12</f>
        <v>0.8</v>
      </c>
      <c r="AH12" s="57">
        <f t="shared" ref="AH12" si="31">AG12</f>
        <v>0.8</v>
      </c>
    </row>
    <row r="13" spans="3:34">
      <c r="C13" s="68" t="s">
        <v>84</v>
      </c>
      <c r="D13" s="24"/>
      <c r="E13" s="58">
        <f>'Receitas por categoria'!$C$39*'Receitas por categoria'!$D$39*12*E14/1000</f>
        <v>0</v>
      </c>
      <c r="F13" s="58">
        <f>'Receitas por categoria'!$C$40*'Receitas por categoria'!$D$40*12/1000*F14</f>
        <v>0</v>
      </c>
      <c r="G13" s="58">
        <f>'Receitas por categoria'!$C$40*'Receitas por categoria'!$D$40*12/1000*G14</f>
        <v>0</v>
      </c>
      <c r="H13" s="58">
        <f>'Receitas por categoria'!$C$40*'Receitas por categoria'!$D$40*12/1000*H14</f>
        <v>792</v>
      </c>
      <c r="I13" s="58">
        <f>'Receitas por categoria'!$C$40*'Receitas por categoria'!$D$40*12/1000*I14</f>
        <v>1108.8</v>
      </c>
      <c r="J13" s="58">
        <f>'Receitas por categoria'!$C$40*'Receitas por categoria'!$D$40*12/1000*J14</f>
        <v>1267.2</v>
      </c>
      <c r="K13" s="58">
        <f>'Receitas por categoria'!$C$40*'Receitas por categoria'!$D$40*12/1000*K14</f>
        <v>1267.2</v>
      </c>
      <c r="L13" s="58">
        <f>'Receitas por categoria'!$C$40*'Receitas por categoria'!$D$40*12/1000*L14</f>
        <v>1267.2</v>
      </c>
      <c r="M13" s="58">
        <f>'Receitas por categoria'!$C$40*'Receitas por categoria'!$D$40*12/1000*M14</f>
        <v>1267.2</v>
      </c>
      <c r="N13" s="58">
        <f>'Receitas por categoria'!$C$40*'Receitas por categoria'!$D$40*12/1000*N14</f>
        <v>1267.2</v>
      </c>
      <c r="O13" s="58">
        <f>'Receitas por categoria'!$C$40*'Receitas por categoria'!$D$40*12/1000*O14</f>
        <v>1267.2</v>
      </c>
      <c r="P13" s="58">
        <f>'Receitas por categoria'!$C$40*'Receitas por categoria'!$D$40*12/1000*P14</f>
        <v>1267.2</v>
      </c>
      <c r="Q13" s="58">
        <f>'Receitas por categoria'!$C$40*'Receitas por categoria'!$D$40*12/1000*Q14</f>
        <v>1267.2</v>
      </c>
      <c r="R13" s="58">
        <f>'Receitas por categoria'!$C$40*'Receitas por categoria'!$D$40*12/1000*R14</f>
        <v>1267.2</v>
      </c>
      <c r="S13" s="58">
        <f>'Receitas por categoria'!$C$40*'Receitas por categoria'!$D$40*12/1000*S14</f>
        <v>1267.2</v>
      </c>
      <c r="T13" s="58">
        <f>'Receitas por categoria'!$C$40*'Receitas por categoria'!$D$40*12/1000*T14</f>
        <v>1267.2</v>
      </c>
      <c r="U13" s="58">
        <f>'Receitas por categoria'!$C$40*'Receitas por categoria'!$D$40*12/1000*U14</f>
        <v>1267.2</v>
      </c>
      <c r="V13" s="58">
        <f>'Receitas por categoria'!$C$40*'Receitas por categoria'!$D$40*12/1000*V14</f>
        <v>1267.2</v>
      </c>
      <c r="W13" s="58">
        <f>'Receitas por categoria'!$C$40*'Receitas por categoria'!$D$40*12/1000*W14</f>
        <v>1267.2</v>
      </c>
      <c r="X13" s="58">
        <f>'Receitas por categoria'!$C$40*'Receitas por categoria'!$D$40*12/1000*X14</f>
        <v>1267.2</v>
      </c>
      <c r="Y13" s="58">
        <f>'Receitas por categoria'!$C$40*'Receitas por categoria'!$D$40*12/1000*Y14</f>
        <v>1267.2</v>
      </c>
      <c r="Z13" s="58">
        <f>'Receitas por categoria'!$C$40*'Receitas por categoria'!$D$40*12/1000*Z14</f>
        <v>1267.2</v>
      </c>
      <c r="AA13" s="58">
        <f>'Receitas por categoria'!$C$40*'Receitas por categoria'!$D$40*12/1000*AA14</f>
        <v>1267.2</v>
      </c>
      <c r="AB13" s="58">
        <f>'Receitas por categoria'!$C$40*'Receitas por categoria'!$D$40*12/1000*AB14</f>
        <v>1267.2</v>
      </c>
      <c r="AC13" s="58">
        <f>'Receitas por categoria'!$C$40*'Receitas por categoria'!$D$40*12/1000*AC14</f>
        <v>1267.2</v>
      </c>
      <c r="AD13" s="58">
        <f>'Receitas por categoria'!$C$40*'Receitas por categoria'!$D$40*12/1000*AD14</f>
        <v>1267.2</v>
      </c>
      <c r="AE13" s="58">
        <f>'Receitas por categoria'!$C$40*'Receitas por categoria'!$D$40*12/1000*AE14</f>
        <v>1267.2</v>
      </c>
      <c r="AF13" s="58">
        <f>'Receitas por categoria'!$C$40*'Receitas por categoria'!$D$40*12/1000*AF14</f>
        <v>1267.2</v>
      </c>
      <c r="AG13" s="58">
        <f>'Receitas por categoria'!$C$40*'Receitas por categoria'!$D$40*12/1000*AG14</f>
        <v>1267.2</v>
      </c>
      <c r="AH13" s="58">
        <f>'Receitas por categoria'!$C$40*'Receitas por categoria'!$D$40*12/1000*AH14</f>
        <v>1267.2</v>
      </c>
    </row>
    <row r="14" spans="3:34" s="55" customFormat="1">
      <c r="C14" s="53" t="s">
        <v>82</v>
      </c>
      <c r="D14" s="54"/>
      <c r="E14" s="57">
        <v>0</v>
      </c>
      <c r="F14" s="57">
        <v>0</v>
      </c>
      <c r="G14" s="57">
        <v>0</v>
      </c>
      <c r="H14" s="57">
        <v>0.5</v>
      </c>
      <c r="I14" s="57">
        <v>0.7</v>
      </c>
      <c r="J14" s="57">
        <v>0.8</v>
      </c>
      <c r="K14" s="57">
        <f t="shared" ref="K14" si="32">J14</f>
        <v>0.8</v>
      </c>
      <c r="L14" s="57">
        <f t="shared" ref="L14" si="33">K14</f>
        <v>0.8</v>
      </c>
      <c r="M14" s="57">
        <f t="shared" ref="M14" si="34">L14</f>
        <v>0.8</v>
      </c>
      <c r="N14" s="57">
        <f t="shared" ref="N14" si="35">M14</f>
        <v>0.8</v>
      </c>
      <c r="O14" s="57">
        <f t="shared" ref="O14" si="36">N14</f>
        <v>0.8</v>
      </c>
      <c r="P14" s="57">
        <f t="shared" ref="P14" si="37">O14</f>
        <v>0.8</v>
      </c>
      <c r="Q14" s="57">
        <f t="shared" ref="Q14" si="38">P14</f>
        <v>0.8</v>
      </c>
      <c r="R14" s="57">
        <f t="shared" ref="R14" si="39">Q14</f>
        <v>0.8</v>
      </c>
      <c r="S14" s="57">
        <f t="shared" ref="S14" si="40">R14</f>
        <v>0.8</v>
      </c>
      <c r="T14" s="57">
        <f t="shared" ref="T14" si="41">S14</f>
        <v>0.8</v>
      </c>
      <c r="U14" s="57">
        <f t="shared" ref="U14" si="42">T14</f>
        <v>0.8</v>
      </c>
      <c r="V14" s="57">
        <f t="shared" ref="V14" si="43">U14</f>
        <v>0.8</v>
      </c>
      <c r="W14" s="57">
        <f t="shared" ref="W14" si="44">V14</f>
        <v>0.8</v>
      </c>
      <c r="X14" s="57">
        <f t="shared" ref="X14" si="45">W14</f>
        <v>0.8</v>
      </c>
      <c r="Y14" s="57">
        <f t="shared" ref="Y14" si="46">X14</f>
        <v>0.8</v>
      </c>
      <c r="Z14" s="57">
        <f t="shared" ref="Z14" si="47">Y14</f>
        <v>0.8</v>
      </c>
      <c r="AA14" s="57">
        <f t="shared" ref="AA14" si="48">Z14</f>
        <v>0.8</v>
      </c>
      <c r="AB14" s="57">
        <f t="shared" ref="AB14" si="49">AA14</f>
        <v>0.8</v>
      </c>
      <c r="AC14" s="57">
        <f t="shared" ref="AC14" si="50">AB14</f>
        <v>0.8</v>
      </c>
      <c r="AD14" s="57">
        <f t="shared" ref="AD14" si="51">AC14</f>
        <v>0.8</v>
      </c>
      <c r="AE14" s="57">
        <f t="shared" ref="AE14" si="52">AD14</f>
        <v>0.8</v>
      </c>
      <c r="AF14" s="57">
        <f t="shared" ref="AF14" si="53">AE14</f>
        <v>0.8</v>
      </c>
      <c r="AG14" s="57">
        <f t="shared" ref="AG14" si="54">AF14</f>
        <v>0.8</v>
      </c>
      <c r="AH14" s="57">
        <f t="shared" ref="AH14" si="55">AG14</f>
        <v>0.8</v>
      </c>
    </row>
    <row r="15" spans="3:34">
      <c r="C15" s="49" t="s">
        <v>47</v>
      </c>
      <c r="D15" s="50"/>
      <c r="E15" s="51">
        <f t="shared" ref="E15:AH15" si="56">E16+E18+E22+E20</f>
        <v>0</v>
      </c>
      <c r="F15" s="51">
        <f t="shared" si="56"/>
        <v>0</v>
      </c>
      <c r="G15" s="51">
        <f t="shared" si="56"/>
        <v>0</v>
      </c>
      <c r="H15" s="51">
        <f t="shared" si="56"/>
        <v>1282</v>
      </c>
      <c r="I15" s="51">
        <f t="shared" si="56"/>
        <v>2903.4560000000001</v>
      </c>
      <c r="J15" s="51">
        <f t="shared" si="56"/>
        <v>4824.9120000000003</v>
      </c>
      <c r="K15" s="51">
        <f t="shared" si="56"/>
        <v>4824.9120000000003</v>
      </c>
      <c r="L15" s="51">
        <f t="shared" si="56"/>
        <v>4824.9120000000003</v>
      </c>
      <c r="M15" s="51">
        <f t="shared" si="56"/>
        <v>4824.9120000000003</v>
      </c>
      <c r="N15" s="51">
        <f t="shared" si="56"/>
        <v>4824.9120000000003</v>
      </c>
      <c r="O15" s="51">
        <f t="shared" si="56"/>
        <v>4824.9120000000003</v>
      </c>
      <c r="P15" s="51">
        <f t="shared" si="56"/>
        <v>4824.9120000000003</v>
      </c>
      <c r="Q15" s="51">
        <f t="shared" si="56"/>
        <v>4824.9120000000003</v>
      </c>
      <c r="R15" s="51">
        <f t="shared" si="56"/>
        <v>4824.9120000000003</v>
      </c>
      <c r="S15" s="51">
        <f t="shared" si="56"/>
        <v>4824.9120000000003</v>
      </c>
      <c r="T15" s="51">
        <f t="shared" si="56"/>
        <v>4824.9120000000003</v>
      </c>
      <c r="U15" s="51">
        <f t="shared" si="56"/>
        <v>4824.9120000000003</v>
      </c>
      <c r="V15" s="51">
        <f t="shared" si="56"/>
        <v>4824.9120000000003</v>
      </c>
      <c r="W15" s="51">
        <f t="shared" si="56"/>
        <v>4824.9120000000003</v>
      </c>
      <c r="X15" s="51">
        <f t="shared" si="56"/>
        <v>4824.9120000000003</v>
      </c>
      <c r="Y15" s="51">
        <f t="shared" si="56"/>
        <v>4824.9120000000003</v>
      </c>
      <c r="Z15" s="51">
        <f t="shared" si="56"/>
        <v>4824.9120000000003</v>
      </c>
      <c r="AA15" s="51">
        <f t="shared" si="56"/>
        <v>4824.9120000000003</v>
      </c>
      <c r="AB15" s="51">
        <f t="shared" si="56"/>
        <v>4824.9120000000003</v>
      </c>
      <c r="AC15" s="51">
        <f t="shared" si="56"/>
        <v>4824.9120000000003</v>
      </c>
      <c r="AD15" s="51">
        <f t="shared" si="56"/>
        <v>4824.9120000000003</v>
      </c>
      <c r="AE15" s="51">
        <f t="shared" si="56"/>
        <v>4824.9120000000003</v>
      </c>
      <c r="AF15" s="51">
        <f t="shared" si="56"/>
        <v>4824.9120000000003</v>
      </c>
      <c r="AG15" s="51">
        <f t="shared" si="56"/>
        <v>4824.9120000000003</v>
      </c>
      <c r="AH15" s="51">
        <f t="shared" si="56"/>
        <v>4824.9120000000003</v>
      </c>
    </row>
    <row r="16" spans="3:34">
      <c r="C16" s="67" t="s">
        <v>85</v>
      </c>
      <c r="D16" s="48"/>
      <c r="E16" s="56">
        <f>'Receitas por categoria'!$D$27*E17/1000</f>
        <v>0</v>
      </c>
      <c r="F16" s="56">
        <f>'Receitas por categoria'!$D$27*F17/1000</f>
        <v>0</v>
      </c>
      <c r="G16" s="56">
        <f>'Receitas por categoria'!$D$27*G17/1000</f>
        <v>0</v>
      </c>
      <c r="H16" s="56">
        <f>'Receitas por categoria'!$D$27*H17/1000</f>
        <v>665</v>
      </c>
      <c r="I16" s="56">
        <f>'Receitas por categoria'!$D$27*I17/1000</f>
        <v>1330</v>
      </c>
      <c r="J16" s="56">
        <f>'Receitas por categoria'!$D$27*J17/1000</f>
        <v>1995</v>
      </c>
      <c r="K16" s="56">
        <f>'Receitas por categoria'!$D$27*K17/1000</f>
        <v>1995</v>
      </c>
      <c r="L16" s="56">
        <f>'Receitas por categoria'!$D$27*L17/1000</f>
        <v>1995</v>
      </c>
      <c r="M16" s="56">
        <f>'Receitas por categoria'!$D$27*M17/1000</f>
        <v>1995</v>
      </c>
      <c r="N16" s="56">
        <f>'Receitas por categoria'!$D$27*N17/1000</f>
        <v>1995</v>
      </c>
      <c r="O16" s="56">
        <f>'Receitas por categoria'!$D$27*O17/1000</f>
        <v>1995</v>
      </c>
      <c r="P16" s="56">
        <f>'Receitas por categoria'!$D$27*P17/1000</f>
        <v>1995</v>
      </c>
      <c r="Q16" s="56">
        <f>'Receitas por categoria'!$D$27*Q17/1000</f>
        <v>1995</v>
      </c>
      <c r="R16" s="56">
        <f>'Receitas por categoria'!$D$27*R17/1000</f>
        <v>1995</v>
      </c>
      <c r="S16" s="56">
        <f>'Receitas por categoria'!$D$27*S17/1000</f>
        <v>1995</v>
      </c>
      <c r="T16" s="56">
        <f>'Receitas por categoria'!$D$27*T17/1000</f>
        <v>1995</v>
      </c>
      <c r="U16" s="56">
        <f>'Receitas por categoria'!$D$27*U17/1000</f>
        <v>1995</v>
      </c>
      <c r="V16" s="56">
        <f>'Receitas por categoria'!$D$27*V17/1000</f>
        <v>1995</v>
      </c>
      <c r="W16" s="56">
        <f>'Receitas por categoria'!$D$27*W17/1000</f>
        <v>1995</v>
      </c>
      <c r="X16" s="56">
        <f>'Receitas por categoria'!$D$27*X17/1000</f>
        <v>1995</v>
      </c>
      <c r="Y16" s="56">
        <f>'Receitas por categoria'!$D$27*Y17/1000</f>
        <v>1995</v>
      </c>
      <c r="Z16" s="56">
        <f>'Receitas por categoria'!$D$27*Z17/1000</f>
        <v>1995</v>
      </c>
      <c r="AA16" s="56">
        <f>'Receitas por categoria'!$D$27*AA17/1000</f>
        <v>1995</v>
      </c>
      <c r="AB16" s="56">
        <f>'Receitas por categoria'!$D$27*AB17/1000</f>
        <v>1995</v>
      </c>
      <c r="AC16" s="56">
        <f>'Receitas por categoria'!$D$27*AC17/1000</f>
        <v>1995</v>
      </c>
      <c r="AD16" s="56">
        <f>'Receitas por categoria'!$D$27*AD17/1000</f>
        <v>1995</v>
      </c>
      <c r="AE16" s="56">
        <f>'Receitas por categoria'!$D$27*AE17/1000</f>
        <v>1995</v>
      </c>
      <c r="AF16" s="56">
        <f>'Receitas por categoria'!$D$27*AF17/1000</f>
        <v>1995</v>
      </c>
      <c r="AG16" s="56">
        <f>'Receitas por categoria'!$D$27*AG17/1000</f>
        <v>1995</v>
      </c>
      <c r="AH16" s="56">
        <f>'Receitas por categoria'!$D$27*AH17/1000</f>
        <v>1995</v>
      </c>
    </row>
    <row r="17" spans="3:34" s="55" customFormat="1">
      <c r="C17" s="53" t="s">
        <v>82</v>
      </c>
      <c r="D17" s="54"/>
      <c r="E17" s="57">
        <v>0</v>
      </c>
      <c r="F17" s="57">
        <v>0</v>
      </c>
      <c r="G17" s="57">
        <v>0</v>
      </c>
      <c r="H17" s="57">
        <v>0.25</v>
      </c>
      <c r="I17" s="57">
        <v>0.5</v>
      </c>
      <c r="J17" s="57">
        <v>0.75</v>
      </c>
      <c r="K17" s="57">
        <v>0.75</v>
      </c>
      <c r="L17" s="57">
        <v>0.75</v>
      </c>
      <c r="M17" s="57">
        <v>0.75</v>
      </c>
      <c r="N17" s="57">
        <v>0.75</v>
      </c>
      <c r="O17" s="57">
        <v>0.75</v>
      </c>
      <c r="P17" s="57">
        <v>0.75</v>
      </c>
      <c r="Q17" s="57">
        <v>0.75</v>
      </c>
      <c r="R17" s="57">
        <v>0.75</v>
      </c>
      <c r="S17" s="57">
        <v>0.75</v>
      </c>
      <c r="T17" s="57">
        <v>0.75</v>
      </c>
      <c r="U17" s="57">
        <v>0.75</v>
      </c>
      <c r="V17" s="57">
        <v>0.75</v>
      </c>
      <c r="W17" s="57">
        <v>0.75</v>
      </c>
      <c r="X17" s="57">
        <v>0.75</v>
      </c>
      <c r="Y17" s="57">
        <v>0.75</v>
      </c>
      <c r="Z17" s="57">
        <v>0.75</v>
      </c>
      <c r="AA17" s="57">
        <v>0.75</v>
      </c>
      <c r="AB17" s="57">
        <v>0.75</v>
      </c>
      <c r="AC17" s="57">
        <v>0.75</v>
      </c>
      <c r="AD17" s="57">
        <v>0.75</v>
      </c>
      <c r="AE17" s="57">
        <v>0.75</v>
      </c>
      <c r="AF17" s="57">
        <v>0.75</v>
      </c>
      <c r="AG17" s="57">
        <v>0.75</v>
      </c>
      <c r="AH17" s="57">
        <v>0.75</v>
      </c>
    </row>
    <row r="18" spans="3:34">
      <c r="C18" s="68" t="s">
        <v>86</v>
      </c>
      <c r="D18" s="24"/>
      <c r="E18" s="58">
        <f>'Receitas por categoria'!$D$28*E19/1000</f>
        <v>0</v>
      </c>
      <c r="F18" s="58">
        <f>'Receitas por categoria'!$D$28*F19/1000</f>
        <v>0</v>
      </c>
      <c r="G18" s="58">
        <f>'Receitas por categoria'!$D$28*G19/1000</f>
        <v>0</v>
      </c>
      <c r="H18" s="58">
        <f>'Receitas por categoria'!$D$28*H19/1000</f>
        <v>500</v>
      </c>
      <c r="I18" s="58">
        <f>'Receitas por categoria'!$D$28*I19/1000</f>
        <v>1000</v>
      </c>
      <c r="J18" s="58">
        <f>'Receitas por categoria'!$D$28*J19/1000</f>
        <v>1800</v>
      </c>
      <c r="K18" s="58">
        <f>'Receitas por categoria'!$D$28*K19/1000</f>
        <v>1800</v>
      </c>
      <c r="L18" s="58">
        <f>'Receitas por categoria'!$D$28*L19/1000</f>
        <v>1800</v>
      </c>
      <c r="M18" s="58">
        <f>'Receitas por categoria'!$D$28*M19/1000</f>
        <v>1800</v>
      </c>
      <c r="N18" s="58">
        <f>'Receitas por categoria'!$D$28*N19/1000</f>
        <v>1800</v>
      </c>
      <c r="O18" s="58">
        <f>'Receitas por categoria'!$D$28*O19/1000</f>
        <v>1800</v>
      </c>
      <c r="P18" s="58">
        <f>'Receitas por categoria'!$D$28*P19/1000</f>
        <v>1800</v>
      </c>
      <c r="Q18" s="58">
        <f>'Receitas por categoria'!$D$28*Q19/1000</f>
        <v>1800</v>
      </c>
      <c r="R18" s="58">
        <f>'Receitas por categoria'!$D$28*R19/1000</f>
        <v>1800</v>
      </c>
      <c r="S18" s="58">
        <f>'Receitas por categoria'!$D$28*S19/1000</f>
        <v>1800</v>
      </c>
      <c r="T18" s="58">
        <f>'Receitas por categoria'!$D$28*T19/1000</f>
        <v>1800</v>
      </c>
      <c r="U18" s="58">
        <f>'Receitas por categoria'!$D$28*U19/1000</f>
        <v>1800</v>
      </c>
      <c r="V18" s="58">
        <f>'Receitas por categoria'!$D$28*V19/1000</f>
        <v>1800</v>
      </c>
      <c r="W18" s="58">
        <f>'Receitas por categoria'!$D$28*W19/1000</f>
        <v>1800</v>
      </c>
      <c r="X18" s="58">
        <f>'Receitas por categoria'!$D$28*X19/1000</f>
        <v>1800</v>
      </c>
      <c r="Y18" s="58">
        <f>'Receitas por categoria'!$D$28*Y19/1000</f>
        <v>1800</v>
      </c>
      <c r="Z18" s="58">
        <f>'Receitas por categoria'!$D$28*Z19/1000</f>
        <v>1800</v>
      </c>
      <c r="AA18" s="58">
        <f>'Receitas por categoria'!$D$28*AA19/1000</f>
        <v>1800</v>
      </c>
      <c r="AB18" s="58">
        <f>'Receitas por categoria'!$D$28*AB19/1000</f>
        <v>1800</v>
      </c>
      <c r="AC18" s="58">
        <f>'Receitas por categoria'!$D$28*AC19/1000</f>
        <v>1800</v>
      </c>
      <c r="AD18" s="58">
        <f>'Receitas por categoria'!$D$28*AD19/1000</f>
        <v>1800</v>
      </c>
      <c r="AE18" s="58">
        <f>'Receitas por categoria'!$D$28*AE19/1000</f>
        <v>1800</v>
      </c>
      <c r="AF18" s="58">
        <f>'Receitas por categoria'!$D$28*AF19/1000</f>
        <v>1800</v>
      </c>
      <c r="AG18" s="58">
        <f>'Receitas por categoria'!$D$28*AG19/1000</f>
        <v>1800</v>
      </c>
      <c r="AH18" s="58">
        <f>'Receitas por categoria'!$D$28*AH19/1000</f>
        <v>1800</v>
      </c>
    </row>
    <row r="19" spans="3:34" s="55" customFormat="1">
      <c r="C19" s="53" t="s">
        <v>82</v>
      </c>
      <c r="D19" s="54"/>
      <c r="E19" s="57">
        <v>0</v>
      </c>
      <c r="F19" s="57">
        <v>0</v>
      </c>
      <c r="G19" s="57">
        <v>0</v>
      </c>
      <c r="H19" s="57">
        <v>0.25</v>
      </c>
      <c r="I19" s="57">
        <v>0.5</v>
      </c>
      <c r="J19" s="57">
        <v>0.9</v>
      </c>
      <c r="K19" s="57">
        <f t="shared" ref="K19:AH19" si="57">J19</f>
        <v>0.9</v>
      </c>
      <c r="L19" s="57">
        <f t="shared" si="57"/>
        <v>0.9</v>
      </c>
      <c r="M19" s="57">
        <f t="shared" si="57"/>
        <v>0.9</v>
      </c>
      <c r="N19" s="57">
        <f t="shared" si="57"/>
        <v>0.9</v>
      </c>
      <c r="O19" s="57">
        <f t="shared" si="57"/>
        <v>0.9</v>
      </c>
      <c r="P19" s="57">
        <f t="shared" si="57"/>
        <v>0.9</v>
      </c>
      <c r="Q19" s="57">
        <f t="shared" si="57"/>
        <v>0.9</v>
      </c>
      <c r="R19" s="57">
        <f t="shared" si="57"/>
        <v>0.9</v>
      </c>
      <c r="S19" s="57">
        <f t="shared" si="57"/>
        <v>0.9</v>
      </c>
      <c r="T19" s="57">
        <f t="shared" si="57"/>
        <v>0.9</v>
      </c>
      <c r="U19" s="57">
        <f t="shared" si="57"/>
        <v>0.9</v>
      </c>
      <c r="V19" s="57">
        <f t="shared" si="57"/>
        <v>0.9</v>
      </c>
      <c r="W19" s="57">
        <f t="shared" si="57"/>
        <v>0.9</v>
      </c>
      <c r="X19" s="57">
        <f t="shared" si="57"/>
        <v>0.9</v>
      </c>
      <c r="Y19" s="57">
        <f t="shared" si="57"/>
        <v>0.9</v>
      </c>
      <c r="Z19" s="57">
        <f t="shared" si="57"/>
        <v>0.9</v>
      </c>
      <c r="AA19" s="57">
        <f t="shared" si="57"/>
        <v>0.9</v>
      </c>
      <c r="AB19" s="57">
        <f t="shared" si="57"/>
        <v>0.9</v>
      </c>
      <c r="AC19" s="57">
        <f t="shared" si="57"/>
        <v>0.9</v>
      </c>
      <c r="AD19" s="57">
        <f t="shared" si="57"/>
        <v>0.9</v>
      </c>
      <c r="AE19" s="57">
        <f t="shared" si="57"/>
        <v>0.9</v>
      </c>
      <c r="AF19" s="57">
        <f t="shared" si="57"/>
        <v>0.9</v>
      </c>
      <c r="AG19" s="57">
        <f t="shared" si="57"/>
        <v>0.9</v>
      </c>
      <c r="AH19" s="57">
        <f t="shared" si="57"/>
        <v>0.9</v>
      </c>
    </row>
    <row r="20" spans="3:34">
      <c r="C20" s="68" t="s">
        <v>87</v>
      </c>
      <c r="D20" s="24"/>
      <c r="E20" s="58">
        <f>'Receitas por categoria'!$D$29*E21/1000</f>
        <v>0</v>
      </c>
      <c r="F20" s="58">
        <f>'Receitas por categoria'!$D$29*F21/1000</f>
        <v>0</v>
      </c>
      <c r="G20" s="58">
        <f>'Receitas por categoria'!$D$29*G21/1000</f>
        <v>0</v>
      </c>
      <c r="H20" s="58">
        <f>'Receitas por categoria'!$D$29*H21/1000</f>
        <v>0</v>
      </c>
      <c r="I20" s="58">
        <f>'Receitas por categoria'!$D$29*I21/1000</f>
        <v>339.45600000000002</v>
      </c>
      <c r="J20" s="58">
        <f>'Receitas por categoria'!$D$29*J21/1000</f>
        <v>678.91200000000003</v>
      </c>
      <c r="K20" s="58">
        <f>'Receitas por categoria'!$D$29*K21/1000</f>
        <v>678.91200000000003</v>
      </c>
      <c r="L20" s="58">
        <f>'Receitas por categoria'!$D$29*L21/1000</f>
        <v>678.91200000000003</v>
      </c>
      <c r="M20" s="58">
        <f>'Receitas por categoria'!$D$29*M21/1000</f>
        <v>678.91200000000003</v>
      </c>
      <c r="N20" s="58">
        <f>'Receitas por categoria'!$D$29*N21/1000</f>
        <v>678.91200000000003</v>
      </c>
      <c r="O20" s="58">
        <f>'Receitas por categoria'!$D$29*O21/1000</f>
        <v>678.91200000000003</v>
      </c>
      <c r="P20" s="58">
        <f>'Receitas por categoria'!$D$29*P21/1000</f>
        <v>678.91200000000003</v>
      </c>
      <c r="Q20" s="58">
        <f>'Receitas por categoria'!$D$29*Q21/1000</f>
        <v>678.91200000000003</v>
      </c>
      <c r="R20" s="58">
        <f>'Receitas por categoria'!$D$29*R21/1000</f>
        <v>678.91200000000003</v>
      </c>
      <c r="S20" s="58">
        <f>'Receitas por categoria'!$D$29*S21/1000</f>
        <v>678.91200000000003</v>
      </c>
      <c r="T20" s="58">
        <f>'Receitas por categoria'!$D$29*T21/1000</f>
        <v>678.91200000000003</v>
      </c>
      <c r="U20" s="58">
        <f>'Receitas por categoria'!$D$29*U21/1000</f>
        <v>678.91200000000003</v>
      </c>
      <c r="V20" s="58">
        <f>'Receitas por categoria'!$D$29*V21/1000</f>
        <v>678.91200000000003</v>
      </c>
      <c r="W20" s="58">
        <f>'Receitas por categoria'!$D$29*W21/1000</f>
        <v>678.91200000000003</v>
      </c>
      <c r="X20" s="58">
        <f>'Receitas por categoria'!$D$29*X21/1000</f>
        <v>678.91200000000003</v>
      </c>
      <c r="Y20" s="58">
        <f>'Receitas por categoria'!$D$29*Y21/1000</f>
        <v>678.91200000000003</v>
      </c>
      <c r="Z20" s="58">
        <f>'Receitas por categoria'!$D$29*Z21/1000</f>
        <v>678.91200000000003</v>
      </c>
      <c r="AA20" s="58">
        <f>'Receitas por categoria'!$D$29*AA21/1000</f>
        <v>678.91200000000003</v>
      </c>
      <c r="AB20" s="58">
        <f>'Receitas por categoria'!$D$29*AB21/1000</f>
        <v>678.91200000000003</v>
      </c>
      <c r="AC20" s="58">
        <f>'Receitas por categoria'!$D$29*AC21/1000</f>
        <v>678.91200000000003</v>
      </c>
      <c r="AD20" s="58">
        <f>'Receitas por categoria'!$D$29*AD21/1000</f>
        <v>678.91200000000003</v>
      </c>
      <c r="AE20" s="58">
        <f>'Receitas por categoria'!$D$29*AE21/1000</f>
        <v>678.91200000000003</v>
      </c>
      <c r="AF20" s="58">
        <f>'Receitas por categoria'!$D$29*AF21/1000</f>
        <v>678.91200000000003</v>
      </c>
      <c r="AG20" s="58">
        <f>'Receitas por categoria'!$D$29*AG21/1000</f>
        <v>678.91200000000003</v>
      </c>
      <c r="AH20" s="58">
        <f>'Receitas por categoria'!$D$29*AH21/1000</f>
        <v>678.91200000000003</v>
      </c>
    </row>
    <row r="21" spans="3:34" s="55" customFormat="1">
      <c r="C21" s="53" t="s">
        <v>82</v>
      </c>
      <c r="D21" s="54"/>
      <c r="E21" s="57">
        <v>0</v>
      </c>
      <c r="F21" s="57">
        <v>0</v>
      </c>
      <c r="G21" s="57">
        <v>0</v>
      </c>
      <c r="H21" s="57">
        <v>0</v>
      </c>
      <c r="I21" s="57">
        <v>0.5</v>
      </c>
      <c r="J21" s="57">
        <v>1</v>
      </c>
      <c r="K21" s="57">
        <f t="shared" ref="K21" si="58">J21</f>
        <v>1</v>
      </c>
      <c r="L21" s="57">
        <f t="shared" ref="L21" si="59">K21</f>
        <v>1</v>
      </c>
      <c r="M21" s="57">
        <f t="shared" ref="M21" si="60">L21</f>
        <v>1</v>
      </c>
      <c r="N21" s="57">
        <f t="shared" ref="N21" si="61">M21</f>
        <v>1</v>
      </c>
      <c r="O21" s="57">
        <f t="shared" ref="O21" si="62">N21</f>
        <v>1</v>
      </c>
      <c r="P21" s="57">
        <f t="shared" ref="P21" si="63">O21</f>
        <v>1</v>
      </c>
      <c r="Q21" s="57">
        <f t="shared" ref="Q21" si="64">P21</f>
        <v>1</v>
      </c>
      <c r="R21" s="57">
        <f t="shared" ref="R21" si="65">Q21</f>
        <v>1</v>
      </c>
      <c r="S21" s="57">
        <f t="shared" ref="S21" si="66">R21</f>
        <v>1</v>
      </c>
      <c r="T21" s="57">
        <f t="shared" ref="T21" si="67">S21</f>
        <v>1</v>
      </c>
      <c r="U21" s="57">
        <f t="shared" ref="U21" si="68">T21</f>
        <v>1</v>
      </c>
      <c r="V21" s="57">
        <f t="shared" ref="V21" si="69">U21</f>
        <v>1</v>
      </c>
      <c r="W21" s="57">
        <f t="shared" ref="W21" si="70">V21</f>
        <v>1</v>
      </c>
      <c r="X21" s="57">
        <f t="shared" ref="X21" si="71">W21</f>
        <v>1</v>
      </c>
      <c r="Y21" s="57">
        <f t="shared" ref="Y21" si="72">X21</f>
        <v>1</v>
      </c>
      <c r="Z21" s="57">
        <f t="shared" ref="Z21" si="73">Y21</f>
        <v>1</v>
      </c>
      <c r="AA21" s="57">
        <f t="shared" ref="AA21" si="74">Z21</f>
        <v>1</v>
      </c>
      <c r="AB21" s="57">
        <f t="shared" ref="AB21" si="75">AA21</f>
        <v>1</v>
      </c>
      <c r="AC21" s="57">
        <f t="shared" ref="AC21" si="76">AB21</f>
        <v>1</v>
      </c>
      <c r="AD21" s="57">
        <f t="shared" ref="AD21" si="77">AC21</f>
        <v>1</v>
      </c>
      <c r="AE21" s="57">
        <f t="shared" ref="AE21" si="78">AD21</f>
        <v>1</v>
      </c>
      <c r="AF21" s="57">
        <f t="shared" ref="AF21" si="79">AE21</f>
        <v>1</v>
      </c>
      <c r="AG21" s="57">
        <f t="shared" ref="AG21" si="80">AF21</f>
        <v>1</v>
      </c>
      <c r="AH21" s="57">
        <f t="shared" ref="AH21" si="81">AG21</f>
        <v>1</v>
      </c>
    </row>
    <row r="22" spans="3:34">
      <c r="C22" s="68" t="s">
        <v>88</v>
      </c>
      <c r="D22" s="24"/>
      <c r="E22" s="58">
        <f>'Receitas por categoria'!$D$30*E23/1000</f>
        <v>0</v>
      </c>
      <c r="F22" s="58">
        <f>'Receitas por categoria'!$D$30*F23/1000</f>
        <v>0</v>
      </c>
      <c r="G22" s="58">
        <f>'Receitas por categoria'!$D$30*G23/1000</f>
        <v>0</v>
      </c>
      <c r="H22" s="58">
        <f>'Receitas por categoria'!$D$30*H23/1000</f>
        <v>117</v>
      </c>
      <c r="I22" s="58">
        <f>'Receitas por categoria'!$D$30*I23/1000</f>
        <v>234</v>
      </c>
      <c r="J22" s="58">
        <f>'Receitas por categoria'!$D$30*J23/1000</f>
        <v>351</v>
      </c>
      <c r="K22" s="58">
        <f>'Receitas por categoria'!$D$30*K23/1000</f>
        <v>351</v>
      </c>
      <c r="L22" s="58">
        <f>'Receitas por categoria'!$D$30*L23/1000</f>
        <v>351</v>
      </c>
      <c r="M22" s="58">
        <f>'Receitas por categoria'!$D$30*M23/1000</f>
        <v>351</v>
      </c>
      <c r="N22" s="58">
        <f>'Receitas por categoria'!$D$30*N23/1000</f>
        <v>351</v>
      </c>
      <c r="O22" s="58">
        <f>'Receitas por categoria'!$D$30*O23/1000</f>
        <v>351</v>
      </c>
      <c r="P22" s="58">
        <f>'Receitas por categoria'!$D$30*P23/1000</f>
        <v>351</v>
      </c>
      <c r="Q22" s="58">
        <f>'Receitas por categoria'!$D$30*Q23/1000</f>
        <v>351</v>
      </c>
      <c r="R22" s="58">
        <f>'Receitas por categoria'!$D$30*R23/1000</f>
        <v>351</v>
      </c>
      <c r="S22" s="58">
        <f>'Receitas por categoria'!$D$30*S23/1000</f>
        <v>351</v>
      </c>
      <c r="T22" s="58">
        <f>'Receitas por categoria'!$D$30*T23/1000</f>
        <v>351</v>
      </c>
      <c r="U22" s="58">
        <f>'Receitas por categoria'!$D$30*U23/1000</f>
        <v>351</v>
      </c>
      <c r="V22" s="58">
        <f>'Receitas por categoria'!$D$30*V23/1000</f>
        <v>351</v>
      </c>
      <c r="W22" s="58">
        <f>'Receitas por categoria'!$D$30*W23/1000</f>
        <v>351</v>
      </c>
      <c r="X22" s="58">
        <f>'Receitas por categoria'!$D$30*X23/1000</f>
        <v>351</v>
      </c>
      <c r="Y22" s="58">
        <f>'Receitas por categoria'!$D$30*Y23/1000</f>
        <v>351</v>
      </c>
      <c r="Z22" s="58">
        <f>'Receitas por categoria'!$D$30*Z23/1000</f>
        <v>351</v>
      </c>
      <c r="AA22" s="58">
        <f>'Receitas por categoria'!$D$30*AA23/1000</f>
        <v>351</v>
      </c>
      <c r="AB22" s="58">
        <f>'Receitas por categoria'!$D$30*AB23/1000</f>
        <v>351</v>
      </c>
      <c r="AC22" s="58">
        <f>'Receitas por categoria'!$D$30*AC23/1000</f>
        <v>351</v>
      </c>
      <c r="AD22" s="58">
        <f>'Receitas por categoria'!$D$30*AD23/1000</f>
        <v>351</v>
      </c>
      <c r="AE22" s="58">
        <f>'Receitas por categoria'!$D$30*AE23/1000</f>
        <v>351</v>
      </c>
      <c r="AF22" s="58">
        <f>'Receitas por categoria'!$D$30*AF23/1000</f>
        <v>351</v>
      </c>
      <c r="AG22" s="58">
        <f>'Receitas por categoria'!$D$30*AG23/1000</f>
        <v>351</v>
      </c>
      <c r="AH22" s="58">
        <f>'Receitas por categoria'!$D$30*AH23/1000</f>
        <v>351</v>
      </c>
    </row>
    <row r="23" spans="3:34" s="55" customFormat="1">
      <c r="C23" s="53" t="s">
        <v>82</v>
      </c>
      <c r="D23" s="54"/>
      <c r="E23" s="57">
        <v>0</v>
      </c>
      <c r="F23" s="57">
        <v>0</v>
      </c>
      <c r="G23" s="57">
        <v>0</v>
      </c>
      <c r="H23" s="57">
        <v>0.25</v>
      </c>
      <c r="I23" s="57">
        <v>0.5</v>
      </c>
      <c r="J23" s="57">
        <v>0.75</v>
      </c>
      <c r="K23" s="57">
        <f t="shared" ref="K23:AH23" si="82">J23</f>
        <v>0.75</v>
      </c>
      <c r="L23" s="57">
        <f t="shared" si="82"/>
        <v>0.75</v>
      </c>
      <c r="M23" s="57">
        <f t="shared" si="82"/>
        <v>0.75</v>
      </c>
      <c r="N23" s="57">
        <f t="shared" si="82"/>
        <v>0.75</v>
      </c>
      <c r="O23" s="57">
        <f t="shared" si="82"/>
        <v>0.75</v>
      </c>
      <c r="P23" s="57">
        <f t="shared" si="82"/>
        <v>0.75</v>
      </c>
      <c r="Q23" s="57">
        <f t="shared" si="82"/>
        <v>0.75</v>
      </c>
      <c r="R23" s="57">
        <f t="shared" si="82"/>
        <v>0.75</v>
      </c>
      <c r="S23" s="57">
        <f t="shared" si="82"/>
        <v>0.75</v>
      </c>
      <c r="T23" s="57">
        <f t="shared" si="82"/>
        <v>0.75</v>
      </c>
      <c r="U23" s="57">
        <f t="shared" si="82"/>
        <v>0.75</v>
      </c>
      <c r="V23" s="57">
        <f t="shared" si="82"/>
        <v>0.75</v>
      </c>
      <c r="W23" s="57">
        <f t="shared" si="82"/>
        <v>0.75</v>
      </c>
      <c r="X23" s="57">
        <f t="shared" si="82"/>
        <v>0.75</v>
      </c>
      <c r="Y23" s="57">
        <f t="shared" si="82"/>
        <v>0.75</v>
      </c>
      <c r="Z23" s="57">
        <f t="shared" si="82"/>
        <v>0.75</v>
      </c>
      <c r="AA23" s="57">
        <f t="shared" si="82"/>
        <v>0.75</v>
      </c>
      <c r="AB23" s="57">
        <f t="shared" si="82"/>
        <v>0.75</v>
      </c>
      <c r="AC23" s="57">
        <f t="shared" si="82"/>
        <v>0.75</v>
      </c>
      <c r="AD23" s="57">
        <f t="shared" si="82"/>
        <v>0.75</v>
      </c>
      <c r="AE23" s="57">
        <f t="shared" si="82"/>
        <v>0.75</v>
      </c>
      <c r="AF23" s="57">
        <f t="shared" si="82"/>
        <v>0.75</v>
      </c>
      <c r="AG23" s="57">
        <f t="shared" si="82"/>
        <v>0.75</v>
      </c>
      <c r="AH23" s="57">
        <f t="shared" si="82"/>
        <v>0.75</v>
      </c>
    </row>
    <row r="24" spans="3:34">
      <c r="C24" s="49" t="s">
        <v>27</v>
      </c>
      <c r="D24" s="50"/>
      <c r="E24" s="51">
        <f>E25</f>
        <v>0</v>
      </c>
      <c r="F24" s="51">
        <f t="shared" ref="F24:AH24" si="83">F25</f>
        <v>0</v>
      </c>
      <c r="G24" s="51">
        <f t="shared" si="83"/>
        <v>0</v>
      </c>
      <c r="H24" s="51">
        <f t="shared" si="83"/>
        <v>453.01976999999994</v>
      </c>
      <c r="I24" s="51">
        <f t="shared" si="83"/>
        <v>755.03294999999991</v>
      </c>
      <c r="J24" s="51">
        <f t="shared" si="83"/>
        <v>1132.5494249999997</v>
      </c>
      <c r="K24" s="51">
        <f t="shared" si="83"/>
        <v>1132.5494249999997</v>
      </c>
      <c r="L24" s="51">
        <f t="shared" si="83"/>
        <v>1132.5494249999997</v>
      </c>
      <c r="M24" s="51">
        <f t="shared" si="83"/>
        <v>1132.5494249999997</v>
      </c>
      <c r="N24" s="51">
        <f t="shared" si="83"/>
        <v>1132.5494249999997</v>
      </c>
      <c r="O24" s="51">
        <f t="shared" si="83"/>
        <v>1132.5494249999997</v>
      </c>
      <c r="P24" s="51">
        <f t="shared" si="83"/>
        <v>1132.5494249999997</v>
      </c>
      <c r="Q24" s="51">
        <f t="shared" si="83"/>
        <v>1132.5494249999997</v>
      </c>
      <c r="R24" s="51">
        <f t="shared" si="83"/>
        <v>1132.5494249999997</v>
      </c>
      <c r="S24" s="51">
        <f t="shared" si="83"/>
        <v>1132.5494249999997</v>
      </c>
      <c r="T24" s="51">
        <f t="shared" si="83"/>
        <v>1132.5494249999997</v>
      </c>
      <c r="U24" s="51">
        <f t="shared" si="83"/>
        <v>1132.5494249999997</v>
      </c>
      <c r="V24" s="51">
        <f t="shared" si="83"/>
        <v>1132.5494249999997</v>
      </c>
      <c r="W24" s="51">
        <f t="shared" si="83"/>
        <v>1132.5494249999997</v>
      </c>
      <c r="X24" s="51">
        <f t="shared" si="83"/>
        <v>1132.5494249999997</v>
      </c>
      <c r="Y24" s="51">
        <f t="shared" si="83"/>
        <v>1132.5494249999997</v>
      </c>
      <c r="Z24" s="51">
        <f t="shared" si="83"/>
        <v>1132.5494249999997</v>
      </c>
      <c r="AA24" s="51">
        <f t="shared" si="83"/>
        <v>1132.5494249999997</v>
      </c>
      <c r="AB24" s="51">
        <f t="shared" si="83"/>
        <v>1132.5494249999997</v>
      </c>
      <c r="AC24" s="51">
        <f t="shared" si="83"/>
        <v>1132.5494249999997</v>
      </c>
      <c r="AD24" s="51">
        <f t="shared" si="83"/>
        <v>1132.5494249999997</v>
      </c>
      <c r="AE24" s="51">
        <f t="shared" si="83"/>
        <v>1132.5494249999997</v>
      </c>
      <c r="AF24" s="51">
        <f t="shared" si="83"/>
        <v>1132.5494249999997</v>
      </c>
      <c r="AG24" s="51">
        <f t="shared" si="83"/>
        <v>1132.5494249999997</v>
      </c>
      <c r="AH24" s="51">
        <f t="shared" si="83"/>
        <v>1132.5494249999997</v>
      </c>
    </row>
    <row r="25" spans="3:34">
      <c r="C25" s="67" t="s">
        <v>27</v>
      </c>
      <c r="D25" s="48"/>
      <c r="E25" s="56">
        <f>'Receitas por categoria'!$C$17*E26/1000</f>
        <v>0</v>
      </c>
      <c r="F25" s="56">
        <f>'Receitas por categoria'!$C$17*F26/1000</f>
        <v>0</v>
      </c>
      <c r="G25" s="56">
        <f>'Receitas por categoria'!$C$17*G26/1000</f>
        <v>0</v>
      </c>
      <c r="H25" s="56">
        <f>'Receitas por categoria'!$C$17*H26/1000</f>
        <v>453.01976999999994</v>
      </c>
      <c r="I25" s="56">
        <f>'Receitas por categoria'!$C$17*I26/1000</f>
        <v>755.03294999999991</v>
      </c>
      <c r="J25" s="56">
        <f>'Receitas por categoria'!$C$17*J26/1000</f>
        <v>1132.5494249999997</v>
      </c>
      <c r="K25" s="56">
        <f>'Receitas por categoria'!$C$17*K26/1000</f>
        <v>1132.5494249999997</v>
      </c>
      <c r="L25" s="56">
        <f>'Receitas por categoria'!$C$17*L26/1000</f>
        <v>1132.5494249999997</v>
      </c>
      <c r="M25" s="56">
        <f>'Receitas por categoria'!$C$17*M26/1000</f>
        <v>1132.5494249999997</v>
      </c>
      <c r="N25" s="56">
        <f>'Receitas por categoria'!$C$17*N26/1000</f>
        <v>1132.5494249999997</v>
      </c>
      <c r="O25" s="56">
        <f>'Receitas por categoria'!$C$17*O26/1000</f>
        <v>1132.5494249999997</v>
      </c>
      <c r="P25" s="56">
        <f>'Receitas por categoria'!$C$17*P26/1000</f>
        <v>1132.5494249999997</v>
      </c>
      <c r="Q25" s="56">
        <f>'Receitas por categoria'!$C$17*Q26/1000</f>
        <v>1132.5494249999997</v>
      </c>
      <c r="R25" s="56">
        <f>'Receitas por categoria'!$C$17*R26/1000</f>
        <v>1132.5494249999997</v>
      </c>
      <c r="S25" s="56">
        <f>'Receitas por categoria'!$C$17*S26/1000</f>
        <v>1132.5494249999997</v>
      </c>
      <c r="T25" s="56">
        <f>'Receitas por categoria'!$C$17*T26/1000</f>
        <v>1132.5494249999997</v>
      </c>
      <c r="U25" s="56">
        <f>'Receitas por categoria'!$C$17*U26/1000</f>
        <v>1132.5494249999997</v>
      </c>
      <c r="V25" s="56">
        <f>'Receitas por categoria'!$C$17*V26/1000</f>
        <v>1132.5494249999997</v>
      </c>
      <c r="W25" s="56">
        <f>'Receitas por categoria'!$C$17*W26/1000</f>
        <v>1132.5494249999997</v>
      </c>
      <c r="X25" s="56">
        <f>'Receitas por categoria'!$C$17*X26/1000</f>
        <v>1132.5494249999997</v>
      </c>
      <c r="Y25" s="56">
        <f>'Receitas por categoria'!$C$17*Y26/1000</f>
        <v>1132.5494249999997</v>
      </c>
      <c r="Z25" s="56">
        <f>'Receitas por categoria'!$C$17*Z26/1000</f>
        <v>1132.5494249999997</v>
      </c>
      <c r="AA25" s="56">
        <f>'Receitas por categoria'!$C$17*AA26/1000</f>
        <v>1132.5494249999997</v>
      </c>
      <c r="AB25" s="56">
        <f>'Receitas por categoria'!$C$17*AB26/1000</f>
        <v>1132.5494249999997</v>
      </c>
      <c r="AC25" s="56">
        <f>'Receitas por categoria'!$C$17*AC26/1000</f>
        <v>1132.5494249999997</v>
      </c>
      <c r="AD25" s="56">
        <f>'Receitas por categoria'!$C$17*AD26/1000</f>
        <v>1132.5494249999997</v>
      </c>
      <c r="AE25" s="56">
        <f>'Receitas por categoria'!$C$17*AE26/1000</f>
        <v>1132.5494249999997</v>
      </c>
      <c r="AF25" s="56">
        <f>'Receitas por categoria'!$C$17*AF26/1000</f>
        <v>1132.5494249999997</v>
      </c>
      <c r="AG25" s="56">
        <f>'Receitas por categoria'!$C$17*AG26/1000</f>
        <v>1132.5494249999997</v>
      </c>
      <c r="AH25" s="56">
        <f>'Receitas por categoria'!$C$17*AH26/1000</f>
        <v>1132.5494249999997</v>
      </c>
    </row>
    <row r="26" spans="3:34" s="55" customFormat="1">
      <c r="C26" s="53" t="s">
        <v>82</v>
      </c>
      <c r="D26" s="54"/>
      <c r="E26" s="57">
        <v>0</v>
      </c>
      <c r="F26" s="57">
        <v>0</v>
      </c>
      <c r="G26" s="57">
        <v>0</v>
      </c>
      <c r="H26" s="57">
        <v>0.3</v>
      </c>
      <c r="I26" s="57">
        <v>0.5</v>
      </c>
      <c r="J26" s="57">
        <v>0.75</v>
      </c>
      <c r="K26" s="57">
        <f t="shared" ref="K26:AH26" si="84">J26</f>
        <v>0.75</v>
      </c>
      <c r="L26" s="57">
        <f t="shared" si="84"/>
        <v>0.75</v>
      </c>
      <c r="M26" s="57">
        <f t="shared" si="84"/>
        <v>0.75</v>
      </c>
      <c r="N26" s="57">
        <f t="shared" si="84"/>
        <v>0.75</v>
      </c>
      <c r="O26" s="57">
        <f t="shared" si="84"/>
        <v>0.75</v>
      </c>
      <c r="P26" s="57">
        <f t="shared" si="84"/>
        <v>0.75</v>
      </c>
      <c r="Q26" s="57">
        <f t="shared" si="84"/>
        <v>0.75</v>
      </c>
      <c r="R26" s="57">
        <f t="shared" si="84"/>
        <v>0.75</v>
      </c>
      <c r="S26" s="57">
        <f t="shared" si="84"/>
        <v>0.75</v>
      </c>
      <c r="T26" s="57">
        <f t="shared" si="84"/>
        <v>0.75</v>
      </c>
      <c r="U26" s="57">
        <f t="shared" si="84"/>
        <v>0.75</v>
      </c>
      <c r="V26" s="57">
        <f t="shared" si="84"/>
        <v>0.75</v>
      </c>
      <c r="W26" s="57">
        <f t="shared" si="84"/>
        <v>0.75</v>
      </c>
      <c r="X26" s="57">
        <f t="shared" si="84"/>
        <v>0.75</v>
      </c>
      <c r="Y26" s="57">
        <f t="shared" si="84"/>
        <v>0.75</v>
      </c>
      <c r="Z26" s="57">
        <f t="shared" si="84"/>
        <v>0.75</v>
      </c>
      <c r="AA26" s="57">
        <f t="shared" si="84"/>
        <v>0.75</v>
      </c>
      <c r="AB26" s="57">
        <f t="shared" si="84"/>
        <v>0.75</v>
      </c>
      <c r="AC26" s="57">
        <f t="shared" si="84"/>
        <v>0.75</v>
      </c>
      <c r="AD26" s="57">
        <f t="shared" si="84"/>
        <v>0.75</v>
      </c>
      <c r="AE26" s="57">
        <f t="shared" si="84"/>
        <v>0.75</v>
      </c>
      <c r="AF26" s="57">
        <f t="shared" si="84"/>
        <v>0.75</v>
      </c>
      <c r="AG26" s="57">
        <f t="shared" si="84"/>
        <v>0.75</v>
      </c>
      <c r="AH26" s="57">
        <f t="shared" si="84"/>
        <v>0.75</v>
      </c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CC9-E1AD-4D55-AF20-62B73209842B}">
  <sheetPr>
    <tabColor rgb="FFFF0000"/>
  </sheetPr>
  <dimension ref="C2:I5"/>
  <sheetViews>
    <sheetView showGridLines="0" workbookViewId="0">
      <selection activeCell="F4" sqref="F4"/>
    </sheetView>
  </sheetViews>
  <sheetFormatPr defaultRowHeight="14.45"/>
  <cols>
    <col min="6" max="6" width="9" bestFit="1" customWidth="1"/>
  </cols>
  <sheetData>
    <row r="2" spans="3:9" ht="15.6">
      <c r="C2" s="93" t="s">
        <v>78</v>
      </c>
    </row>
    <row r="3" spans="3:9" ht="21">
      <c r="C3" s="118" t="s">
        <v>79</v>
      </c>
      <c r="D3" s="118"/>
      <c r="E3" s="118"/>
      <c r="F3" s="36" t="s">
        <v>89</v>
      </c>
      <c r="G3" s="36">
        <v>1</v>
      </c>
      <c r="H3" s="36">
        <v>2</v>
      </c>
      <c r="I3" s="36">
        <v>3</v>
      </c>
    </row>
    <row r="4" spans="3:9">
      <c r="C4" s="41" t="s">
        <v>90</v>
      </c>
      <c r="D4" s="94"/>
      <c r="E4" s="95"/>
      <c r="F4" s="43">
        <f>382555265.1/1000</f>
        <v>382555.26510000002</v>
      </c>
      <c r="G4" s="43">
        <f>$F$4*G5</f>
        <v>133894.34278499999</v>
      </c>
      <c r="H4" s="43">
        <f t="shared" ref="H4:I4" si="0">$F$4*H5</f>
        <v>191277.63255000001</v>
      </c>
      <c r="I4" s="43">
        <f t="shared" si="0"/>
        <v>57383.289765000001</v>
      </c>
    </row>
    <row r="5" spans="3:9">
      <c r="G5" s="96">
        <v>0.35</v>
      </c>
      <c r="H5" s="96">
        <v>0.5</v>
      </c>
      <c r="I5" s="96">
        <v>0.15</v>
      </c>
    </row>
  </sheetData>
  <mergeCells count="1">
    <mergeCell ref="C3:E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EFA5-57F8-42AE-AE52-051DB05BCFEE}">
  <sheetPr>
    <tabColor rgb="FFFF0000"/>
  </sheetPr>
  <dimension ref="C2:AI5"/>
  <sheetViews>
    <sheetView showGridLines="0" workbookViewId="0">
      <selection activeCell="I4" sqref="I4"/>
    </sheetView>
  </sheetViews>
  <sheetFormatPr defaultRowHeight="14.45"/>
  <cols>
    <col min="16" max="24" width="0" hidden="1" customWidth="1"/>
    <col min="26" max="34" width="0" hidden="1" customWidth="1"/>
  </cols>
  <sheetData>
    <row r="2" spans="3:35" ht="15.6">
      <c r="C2" s="93" t="s">
        <v>78</v>
      </c>
    </row>
    <row r="3" spans="3:35" ht="21">
      <c r="C3" s="118" t="s">
        <v>79</v>
      </c>
      <c r="D3" s="118"/>
      <c r="E3" s="118"/>
      <c r="F3" s="36">
        <v>1</v>
      </c>
      <c r="G3" s="36">
        <v>2</v>
      </c>
      <c r="H3" s="36">
        <v>3</v>
      </c>
      <c r="I3" s="36">
        <v>4</v>
      </c>
      <c r="J3" s="36">
        <v>5</v>
      </c>
      <c r="K3" s="36">
        <v>6</v>
      </c>
      <c r="L3" s="36">
        <v>7</v>
      </c>
      <c r="M3" s="36">
        <v>8</v>
      </c>
      <c r="N3" s="36">
        <v>9</v>
      </c>
      <c r="O3" s="36">
        <v>10</v>
      </c>
      <c r="P3" s="36">
        <v>11</v>
      </c>
      <c r="Q3" s="36">
        <v>12</v>
      </c>
      <c r="R3" s="36">
        <v>13</v>
      </c>
      <c r="S3" s="36">
        <v>14</v>
      </c>
      <c r="T3" s="36">
        <v>15</v>
      </c>
      <c r="U3" s="36">
        <v>16</v>
      </c>
      <c r="V3" s="36">
        <v>17</v>
      </c>
      <c r="W3" s="36">
        <v>18</v>
      </c>
      <c r="X3" s="36">
        <v>19</v>
      </c>
      <c r="Y3" s="36">
        <v>20</v>
      </c>
      <c r="Z3" s="36">
        <v>21</v>
      </c>
      <c r="AA3" s="36">
        <v>22</v>
      </c>
      <c r="AB3" s="36">
        <v>23</v>
      </c>
      <c r="AC3" s="36">
        <v>24</v>
      </c>
      <c r="AD3" s="36">
        <v>25</v>
      </c>
      <c r="AE3" s="36">
        <v>26</v>
      </c>
      <c r="AF3" s="36">
        <v>27</v>
      </c>
      <c r="AG3" s="36">
        <v>28</v>
      </c>
      <c r="AH3" s="36">
        <v>29</v>
      </c>
      <c r="AI3" s="36">
        <v>30</v>
      </c>
    </row>
    <row r="4" spans="3:35">
      <c r="C4" s="41" t="s">
        <v>91</v>
      </c>
      <c r="D4" s="94"/>
      <c r="E4" s="95"/>
      <c r="F4" s="99">
        <v>0</v>
      </c>
      <c r="G4" s="99">
        <v>0</v>
      </c>
      <c r="H4" s="99">
        <v>0</v>
      </c>
      <c r="I4" s="99">
        <v>6600</v>
      </c>
      <c r="J4" s="99">
        <f>I4</f>
        <v>6600</v>
      </c>
      <c r="K4" s="99">
        <f t="shared" ref="K4:AI4" si="0">J4</f>
        <v>6600</v>
      </c>
      <c r="L4" s="99">
        <f t="shared" si="0"/>
        <v>6600</v>
      </c>
      <c r="M4" s="99">
        <f t="shared" si="0"/>
        <v>6600</v>
      </c>
      <c r="N4" s="99">
        <f t="shared" si="0"/>
        <v>6600</v>
      </c>
      <c r="O4" s="99">
        <f t="shared" si="0"/>
        <v>6600</v>
      </c>
      <c r="P4" s="99">
        <f t="shared" si="0"/>
        <v>6600</v>
      </c>
      <c r="Q4" s="99">
        <f t="shared" si="0"/>
        <v>6600</v>
      </c>
      <c r="R4" s="99">
        <f t="shared" si="0"/>
        <v>6600</v>
      </c>
      <c r="S4" s="99">
        <f t="shared" si="0"/>
        <v>6600</v>
      </c>
      <c r="T4" s="99">
        <f t="shared" si="0"/>
        <v>6600</v>
      </c>
      <c r="U4" s="99">
        <f t="shared" si="0"/>
        <v>6600</v>
      </c>
      <c r="V4" s="99">
        <f t="shared" si="0"/>
        <v>6600</v>
      </c>
      <c r="W4" s="99">
        <f t="shared" si="0"/>
        <v>6600</v>
      </c>
      <c r="X4" s="99">
        <f t="shared" si="0"/>
        <v>6600</v>
      </c>
      <c r="Y4" s="99">
        <f t="shared" si="0"/>
        <v>6600</v>
      </c>
      <c r="Z4" s="99">
        <f t="shared" si="0"/>
        <v>6600</v>
      </c>
      <c r="AA4" s="99">
        <f t="shared" si="0"/>
        <v>6600</v>
      </c>
      <c r="AB4" s="99">
        <f t="shared" si="0"/>
        <v>6600</v>
      </c>
      <c r="AC4" s="99">
        <f t="shared" si="0"/>
        <v>6600</v>
      </c>
      <c r="AD4" s="99">
        <f t="shared" si="0"/>
        <v>6600</v>
      </c>
      <c r="AE4" s="99">
        <f t="shared" si="0"/>
        <v>6600</v>
      </c>
      <c r="AF4" s="99">
        <f t="shared" si="0"/>
        <v>6600</v>
      </c>
      <c r="AG4" s="99">
        <f t="shared" si="0"/>
        <v>6600</v>
      </c>
      <c r="AH4" s="99">
        <f t="shared" si="0"/>
        <v>6600</v>
      </c>
      <c r="AI4" s="99">
        <f t="shared" si="0"/>
        <v>6600</v>
      </c>
    </row>
    <row r="5" spans="3:35">
      <c r="F5" s="96"/>
      <c r="G5" s="96"/>
      <c r="H5" s="96"/>
    </row>
  </sheetData>
  <mergeCells count="1">
    <mergeCell ref="C3:E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0F8E-E9C4-4658-8704-A785FA839F54}">
  <sheetPr>
    <tabColor rgb="FFFF0000"/>
  </sheetPr>
  <dimension ref="A1:BD69"/>
  <sheetViews>
    <sheetView showGridLines="0" zoomScale="90" zoomScaleNormal="90" workbookViewId="0">
      <selection activeCell="K28" sqref="K28"/>
    </sheetView>
  </sheetViews>
  <sheetFormatPr defaultColWidth="9" defaultRowHeight="14.45" outlineLevelCol="1"/>
  <cols>
    <col min="1" max="1" width="1.42578125" customWidth="1"/>
    <col min="2" max="2" width="6" bestFit="1" customWidth="1"/>
    <col min="3" max="3" width="8.140625" style="1" bestFit="1" customWidth="1"/>
    <col min="4" max="4" width="3" customWidth="1"/>
    <col min="5" max="5" width="28.5703125" customWidth="1"/>
    <col min="6" max="6" width="1.5703125" customWidth="1"/>
    <col min="7" max="16" width="10.5703125" customWidth="1"/>
    <col min="17" max="20" width="10.5703125" hidden="1" customWidth="1" outlineLevel="1"/>
    <col min="21" max="21" width="10.5703125" hidden="1" customWidth="1" outlineLevel="1" collapsed="1"/>
    <col min="22" max="25" width="10.5703125" hidden="1" customWidth="1" outlineLevel="1"/>
    <col min="26" max="26" width="10.5703125" customWidth="1" collapsed="1"/>
    <col min="27" max="30" width="10.5703125" hidden="1" customWidth="1" outlineLevel="1"/>
    <col min="31" max="31" width="11.140625" hidden="1" customWidth="1" outlineLevel="1" collapsed="1"/>
    <col min="32" max="32" width="11.140625" hidden="1" customWidth="1" outlineLevel="1"/>
    <col min="33" max="33" width="10.5703125" hidden="1" customWidth="1" outlineLevel="1"/>
    <col min="34" max="35" width="11.140625" hidden="1" customWidth="1" outlineLevel="1"/>
    <col min="36" max="36" width="11.140625" bestFit="1" customWidth="1" collapsed="1"/>
    <col min="37" max="37" width="10.28515625" bestFit="1" customWidth="1"/>
  </cols>
  <sheetData>
    <row r="1" spans="1:56" ht="6" customHeight="1"/>
    <row r="2" spans="1:56" ht="18">
      <c r="D2" s="22" t="s">
        <v>78</v>
      </c>
      <c r="G2" s="1"/>
      <c r="H2" s="1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56" s="34" customFormat="1" ht="21">
      <c r="C3" s="35"/>
      <c r="D3" s="118" t="s">
        <v>79</v>
      </c>
      <c r="E3" s="118"/>
      <c r="F3" s="118"/>
      <c r="G3" s="36">
        <v>1</v>
      </c>
      <c r="H3" s="36">
        <v>2</v>
      </c>
      <c r="I3" s="36">
        <v>3</v>
      </c>
      <c r="J3" s="36">
        <v>4</v>
      </c>
      <c r="K3" s="36">
        <v>5</v>
      </c>
      <c r="L3" s="36">
        <v>6</v>
      </c>
      <c r="M3" s="36">
        <v>7</v>
      </c>
      <c r="N3" s="36">
        <v>8</v>
      </c>
      <c r="O3" s="36">
        <v>9</v>
      </c>
      <c r="P3" s="36">
        <v>10</v>
      </c>
      <c r="Q3" s="36">
        <v>11</v>
      </c>
      <c r="R3" s="36">
        <v>12</v>
      </c>
      <c r="S3" s="36">
        <v>13</v>
      </c>
      <c r="T3" s="36">
        <v>14</v>
      </c>
      <c r="U3" s="36">
        <v>15</v>
      </c>
      <c r="V3" s="36">
        <v>16</v>
      </c>
      <c r="W3" s="36">
        <v>17</v>
      </c>
      <c r="X3" s="36">
        <v>18</v>
      </c>
      <c r="Y3" s="36">
        <v>19</v>
      </c>
      <c r="Z3" s="36">
        <v>20</v>
      </c>
      <c r="AA3" s="36">
        <v>21</v>
      </c>
      <c r="AB3" s="36">
        <v>22</v>
      </c>
      <c r="AC3" s="36">
        <v>23</v>
      </c>
      <c r="AD3" s="36">
        <v>24</v>
      </c>
      <c r="AE3" s="36">
        <v>25</v>
      </c>
      <c r="AF3" s="36">
        <v>26</v>
      </c>
      <c r="AG3" s="36">
        <v>27</v>
      </c>
      <c r="AH3" s="36">
        <v>28</v>
      </c>
      <c r="AI3" s="36">
        <v>29</v>
      </c>
      <c r="AJ3" s="36">
        <v>30</v>
      </c>
    </row>
    <row r="4" spans="1:56" ht="4.5" customHeight="1"/>
    <row r="5" spans="1:56" s="25" customFormat="1">
      <c r="A5"/>
      <c r="B5" s="98"/>
      <c r="C5" s="1"/>
      <c r="D5" s="41" t="s">
        <v>92</v>
      </c>
      <c r="E5" s="42"/>
      <c r="F5" s="42"/>
      <c r="G5" s="43">
        <f>'Receitas e Performance'!E5+(Contraprestação!F4*12)</f>
        <v>0</v>
      </c>
      <c r="H5" s="43">
        <f>'Receitas e Performance'!F5+(Contraprestação!G4*12)</f>
        <v>0</v>
      </c>
      <c r="I5" s="43">
        <f>'Receitas e Performance'!G5+(Contraprestação!H4*12)</f>
        <v>0</v>
      </c>
      <c r="J5" s="43">
        <f>'Receitas e Performance'!H5+(Contraprestação!I4*12)</f>
        <v>84382.223769999997</v>
      </c>
      <c r="K5" s="43">
        <f>'Receitas e Performance'!I5+(Contraprestação!J4*12)</f>
        <v>87457.966069999995</v>
      </c>
      <c r="L5" s="43">
        <f>'Receitas e Performance'!J5+(Contraprestação!K4*12)</f>
        <v>91428.349424999993</v>
      </c>
      <c r="M5" s="43">
        <f>'Receitas e Performance'!K5+(Contraprestação!L4*12)</f>
        <v>92183.711024999997</v>
      </c>
      <c r="N5" s="43">
        <f>'Receitas e Performance'!L5+(Contraprestação!M4*12)</f>
        <v>93694.434225000005</v>
      </c>
      <c r="O5" s="43">
        <f>'Receitas e Performance'!M5+(Contraprestação!N4*12)</f>
        <v>93694.434225000005</v>
      </c>
      <c r="P5" s="43">
        <f>'Receitas e Performance'!N5+(Contraprestação!O4*12)</f>
        <v>93694.434225000005</v>
      </c>
      <c r="Q5" s="43">
        <f>'Receitas e Performance'!O5+(Contraprestação!P4*12)</f>
        <v>93694.434225000005</v>
      </c>
      <c r="R5" s="43">
        <f>'Receitas e Performance'!P5+(Contraprestação!Q4*12)</f>
        <v>93694.434225000005</v>
      </c>
      <c r="S5" s="43">
        <f>'Receitas e Performance'!Q5+(Contraprestação!R4*12)</f>
        <v>93694.434225000005</v>
      </c>
      <c r="T5" s="43">
        <f>'Receitas e Performance'!R5+(Contraprestação!S4*12)</f>
        <v>93694.434225000005</v>
      </c>
      <c r="U5" s="43">
        <f>'Receitas e Performance'!S5+(Contraprestação!T4*12)</f>
        <v>93694.434225000005</v>
      </c>
      <c r="V5" s="43">
        <f>'Receitas e Performance'!T5+(Contraprestação!U4*12)</f>
        <v>93694.434225000005</v>
      </c>
      <c r="W5" s="43">
        <f>'Receitas e Performance'!U5+(Contraprestação!V4*12)</f>
        <v>93694.434225000005</v>
      </c>
      <c r="X5" s="43">
        <f>'Receitas e Performance'!V5+(Contraprestação!W4*12)</f>
        <v>93694.434225000005</v>
      </c>
      <c r="Y5" s="43">
        <f>'Receitas e Performance'!W5+(Contraprestação!X4*12)</f>
        <v>93694.434225000005</v>
      </c>
      <c r="Z5" s="43">
        <f>'Receitas e Performance'!X5+(Contraprestação!Y4*12)</f>
        <v>93694.434225000005</v>
      </c>
      <c r="AA5" s="43">
        <f>'Receitas e Performance'!Y5+(Contraprestação!Z4*12)</f>
        <v>93694.434225000005</v>
      </c>
      <c r="AB5" s="43">
        <f>'Receitas e Performance'!Z5+(Contraprestação!AA4*12)</f>
        <v>93694.434225000005</v>
      </c>
      <c r="AC5" s="43">
        <f>'Receitas e Performance'!AA5+(Contraprestação!AB4*12)</f>
        <v>93694.434225000005</v>
      </c>
      <c r="AD5" s="43">
        <f>'Receitas e Performance'!AB5+(Contraprestação!AC4*12)</f>
        <v>93694.434225000005</v>
      </c>
      <c r="AE5" s="43">
        <f>'Receitas e Performance'!AC5+(Contraprestação!AD4*12)</f>
        <v>93694.434225000005</v>
      </c>
      <c r="AF5" s="43">
        <f>'Receitas e Performance'!AD5+(Contraprestação!AE4*12)</f>
        <v>93694.434225000005</v>
      </c>
      <c r="AG5" s="43">
        <f>'Receitas e Performance'!AE5+(Contraprestação!AF4*12)</f>
        <v>93694.434225000005</v>
      </c>
      <c r="AH5" s="43">
        <f>'Receitas e Performance'!AF5+(Contraprestação!AG4*12)</f>
        <v>93694.434225000005</v>
      </c>
      <c r="AI5" s="43">
        <f>'Receitas e Performance'!AG5+(Contraprestação!AH4*12)</f>
        <v>93694.434225000005</v>
      </c>
      <c r="AJ5" s="43">
        <f>'Receitas e Performance'!AH5+(Contraprestação!AI4*12)</f>
        <v>93694.434225000005</v>
      </c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25" customFormat="1">
      <c r="A6"/>
      <c r="B6"/>
      <c r="C6" s="1"/>
      <c r="D6" s="26" t="s">
        <v>93</v>
      </c>
      <c r="E6" s="23"/>
      <c r="F6" s="23"/>
      <c r="G6" s="24">
        <f t="shared" ref="G6:AJ6" si="0">SUM(G7:G8)</f>
        <v>0</v>
      </c>
      <c r="H6" s="24">
        <f t="shared" si="0"/>
        <v>0</v>
      </c>
      <c r="I6" s="24">
        <f t="shared" si="0"/>
        <v>0</v>
      </c>
      <c r="J6" s="24">
        <f t="shared" si="0"/>
        <v>-7853.006687224999</v>
      </c>
      <c r="K6" s="24">
        <f t="shared" si="0"/>
        <v>-8177.6135089749996</v>
      </c>
      <c r="L6" s="24">
        <f t="shared" si="0"/>
        <v>-8603.7497930624995</v>
      </c>
      <c r="M6" s="24">
        <f t="shared" si="0"/>
        <v>-8673.6207410624993</v>
      </c>
      <c r="N6" s="24">
        <f t="shared" si="0"/>
        <v>-8813.3626370625007</v>
      </c>
      <c r="O6" s="24">
        <f t="shared" si="0"/>
        <v>-8813.3626370625007</v>
      </c>
      <c r="P6" s="24">
        <f t="shared" si="0"/>
        <v>-8813.3626370625007</v>
      </c>
      <c r="Q6" s="24">
        <f t="shared" si="0"/>
        <v>-8813.3626370625007</v>
      </c>
      <c r="R6" s="24">
        <f t="shared" si="0"/>
        <v>-8813.3626370625007</v>
      </c>
      <c r="S6" s="24">
        <f t="shared" si="0"/>
        <v>-8813.3626370625007</v>
      </c>
      <c r="T6" s="24">
        <f t="shared" si="0"/>
        <v>-8813.3626370625007</v>
      </c>
      <c r="U6" s="24">
        <f t="shared" si="0"/>
        <v>-8813.3626370625007</v>
      </c>
      <c r="V6" s="24">
        <f t="shared" si="0"/>
        <v>-8813.3626370625007</v>
      </c>
      <c r="W6" s="24">
        <f t="shared" si="0"/>
        <v>-8813.3626370625007</v>
      </c>
      <c r="X6" s="24">
        <f t="shared" si="0"/>
        <v>-8813.3626370625007</v>
      </c>
      <c r="Y6" s="24">
        <f t="shared" si="0"/>
        <v>-8813.3626370625007</v>
      </c>
      <c r="Z6" s="24">
        <f t="shared" si="0"/>
        <v>-8813.3626370625007</v>
      </c>
      <c r="AA6" s="24">
        <f t="shared" si="0"/>
        <v>-8813.3626370625007</v>
      </c>
      <c r="AB6" s="24">
        <f t="shared" si="0"/>
        <v>-8813.3626370625007</v>
      </c>
      <c r="AC6" s="24">
        <f t="shared" si="0"/>
        <v>-8813.3626370625007</v>
      </c>
      <c r="AD6" s="24">
        <f t="shared" si="0"/>
        <v>-8813.3626370625007</v>
      </c>
      <c r="AE6" s="24">
        <f t="shared" si="0"/>
        <v>-8813.3626370625007</v>
      </c>
      <c r="AF6" s="24">
        <f t="shared" si="0"/>
        <v>-8813.3626370625007</v>
      </c>
      <c r="AG6" s="24">
        <f t="shared" si="0"/>
        <v>-8813.3626370625007</v>
      </c>
      <c r="AH6" s="24">
        <f t="shared" si="0"/>
        <v>-8813.3626370625007</v>
      </c>
      <c r="AI6" s="24">
        <f t="shared" si="0"/>
        <v>-8813.3626370625007</v>
      </c>
      <c r="AJ6" s="24">
        <f t="shared" si="0"/>
        <v>-8813.3626370625007</v>
      </c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s="25" customFormat="1">
      <c r="A7"/>
      <c r="B7"/>
      <c r="C7" s="1"/>
      <c r="D7" s="26"/>
      <c r="E7" s="23" t="s">
        <v>94</v>
      </c>
      <c r="F7" s="23"/>
      <c r="G7" s="24">
        <f t="shared" ref="G7:AJ7" si="1">-G5*9.25%</f>
        <v>0</v>
      </c>
      <c r="H7" s="24">
        <f t="shared" si="1"/>
        <v>0</v>
      </c>
      <c r="I7" s="24">
        <f t="shared" si="1"/>
        <v>0</v>
      </c>
      <c r="J7" s="24">
        <f t="shared" si="1"/>
        <v>-7805.3556987249995</v>
      </c>
      <c r="K7" s="24">
        <f t="shared" si="1"/>
        <v>-8089.8618614749994</v>
      </c>
      <c r="L7" s="24">
        <f t="shared" si="1"/>
        <v>-8457.1223218124996</v>
      </c>
      <c r="M7" s="24">
        <f t="shared" si="1"/>
        <v>-8526.9932698124994</v>
      </c>
      <c r="N7" s="24">
        <f t="shared" si="1"/>
        <v>-8666.7351658125008</v>
      </c>
      <c r="O7" s="24">
        <f t="shared" si="1"/>
        <v>-8666.7351658125008</v>
      </c>
      <c r="P7" s="24">
        <f t="shared" si="1"/>
        <v>-8666.7351658125008</v>
      </c>
      <c r="Q7" s="24">
        <f t="shared" si="1"/>
        <v>-8666.7351658125008</v>
      </c>
      <c r="R7" s="24">
        <f t="shared" si="1"/>
        <v>-8666.7351658125008</v>
      </c>
      <c r="S7" s="24">
        <f t="shared" si="1"/>
        <v>-8666.7351658125008</v>
      </c>
      <c r="T7" s="24">
        <f t="shared" si="1"/>
        <v>-8666.7351658125008</v>
      </c>
      <c r="U7" s="24">
        <f t="shared" si="1"/>
        <v>-8666.7351658125008</v>
      </c>
      <c r="V7" s="24">
        <f t="shared" si="1"/>
        <v>-8666.7351658125008</v>
      </c>
      <c r="W7" s="24">
        <f t="shared" si="1"/>
        <v>-8666.7351658125008</v>
      </c>
      <c r="X7" s="24">
        <f t="shared" si="1"/>
        <v>-8666.7351658125008</v>
      </c>
      <c r="Y7" s="24">
        <f t="shared" si="1"/>
        <v>-8666.7351658125008</v>
      </c>
      <c r="Z7" s="24">
        <f t="shared" si="1"/>
        <v>-8666.7351658125008</v>
      </c>
      <c r="AA7" s="24">
        <f t="shared" si="1"/>
        <v>-8666.7351658125008</v>
      </c>
      <c r="AB7" s="24">
        <f t="shared" si="1"/>
        <v>-8666.7351658125008</v>
      </c>
      <c r="AC7" s="24">
        <f t="shared" si="1"/>
        <v>-8666.7351658125008</v>
      </c>
      <c r="AD7" s="24">
        <f t="shared" si="1"/>
        <v>-8666.7351658125008</v>
      </c>
      <c r="AE7" s="24">
        <f t="shared" si="1"/>
        <v>-8666.7351658125008</v>
      </c>
      <c r="AF7" s="24">
        <f t="shared" si="1"/>
        <v>-8666.7351658125008</v>
      </c>
      <c r="AG7" s="24">
        <f t="shared" si="1"/>
        <v>-8666.7351658125008</v>
      </c>
      <c r="AH7" s="24">
        <f t="shared" si="1"/>
        <v>-8666.7351658125008</v>
      </c>
      <c r="AI7" s="24">
        <f t="shared" si="1"/>
        <v>-8666.7351658125008</v>
      </c>
      <c r="AJ7" s="24">
        <f t="shared" si="1"/>
        <v>-8666.7351658125008</v>
      </c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25" customFormat="1">
      <c r="A8"/>
      <c r="B8"/>
      <c r="C8" s="1"/>
      <c r="D8" s="26"/>
      <c r="E8" s="23" t="s">
        <v>95</v>
      </c>
      <c r="F8" s="23"/>
      <c r="G8" s="24">
        <f>('Receitas e Performance'!E25+'Receitas e Performance'!E18)*-5%</f>
        <v>0</v>
      </c>
      <c r="H8" s="24">
        <f>('Receitas e Performance'!F25+'Receitas e Performance'!F18)*-5%</f>
        <v>0</v>
      </c>
      <c r="I8" s="24">
        <f>('Receitas e Performance'!G25+'Receitas e Performance'!G18)*-5%</f>
        <v>0</v>
      </c>
      <c r="J8" s="24">
        <f>('Receitas e Performance'!H25+'Receitas e Performance'!H18)*-5%</f>
        <v>-47.650988499999997</v>
      </c>
      <c r="K8" s="24">
        <f>('Receitas e Performance'!I25+'Receitas e Performance'!I18)*-5%</f>
        <v>-87.75164749999999</v>
      </c>
      <c r="L8" s="24">
        <f>('Receitas e Performance'!J25+'Receitas e Performance'!J18)*-5%</f>
        <v>-146.62747124999999</v>
      </c>
      <c r="M8" s="24">
        <f>('Receitas e Performance'!K25+'Receitas e Performance'!K18)*-5%</f>
        <v>-146.62747124999999</v>
      </c>
      <c r="N8" s="24">
        <f>('Receitas e Performance'!L25+'Receitas e Performance'!L18)*-5%</f>
        <v>-146.62747124999999</v>
      </c>
      <c r="O8" s="24">
        <f>('Receitas e Performance'!M25+'Receitas e Performance'!M18)*-5%</f>
        <v>-146.62747124999999</v>
      </c>
      <c r="P8" s="24">
        <f>('Receitas e Performance'!N25+'Receitas e Performance'!N18)*-5%</f>
        <v>-146.62747124999999</v>
      </c>
      <c r="Q8" s="24">
        <f>('Receitas e Performance'!O25+'Receitas e Performance'!O18)*-5%</f>
        <v>-146.62747124999999</v>
      </c>
      <c r="R8" s="24">
        <f>('Receitas e Performance'!P25+'Receitas e Performance'!P18)*-5%</f>
        <v>-146.62747124999999</v>
      </c>
      <c r="S8" s="24">
        <f>('Receitas e Performance'!Q25+'Receitas e Performance'!Q18)*-5%</f>
        <v>-146.62747124999999</v>
      </c>
      <c r="T8" s="24">
        <f>('Receitas e Performance'!R25+'Receitas e Performance'!R18)*-5%</f>
        <v>-146.62747124999999</v>
      </c>
      <c r="U8" s="24">
        <f>('Receitas e Performance'!S25+'Receitas e Performance'!S18)*-5%</f>
        <v>-146.62747124999999</v>
      </c>
      <c r="V8" s="24">
        <f>('Receitas e Performance'!T25+'Receitas e Performance'!T18)*-5%</f>
        <v>-146.62747124999999</v>
      </c>
      <c r="W8" s="24">
        <f>('Receitas e Performance'!U25+'Receitas e Performance'!U18)*-5%</f>
        <v>-146.62747124999999</v>
      </c>
      <c r="X8" s="24">
        <f>('Receitas e Performance'!V25+'Receitas e Performance'!V18)*-5%</f>
        <v>-146.62747124999999</v>
      </c>
      <c r="Y8" s="24">
        <f>('Receitas e Performance'!W25+'Receitas e Performance'!W18)*-5%</f>
        <v>-146.62747124999999</v>
      </c>
      <c r="Z8" s="24">
        <f>('Receitas e Performance'!X25+'Receitas e Performance'!X18)*-5%</f>
        <v>-146.62747124999999</v>
      </c>
      <c r="AA8" s="24">
        <f>('Receitas e Performance'!Y25+'Receitas e Performance'!Y18)*-5%</f>
        <v>-146.62747124999999</v>
      </c>
      <c r="AB8" s="24">
        <f>('Receitas e Performance'!Z25+'Receitas e Performance'!Z18)*-5%</f>
        <v>-146.62747124999999</v>
      </c>
      <c r="AC8" s="24">
        <f>('Receitas e Performance'!AA25+'Receitas e Performance'!AA18)*-5%</f>
        <v>-146.62747124999999</v>
      </c>
      <c r="AD8" s="24">
        <f>('Receitas e Performance'!AB25+'Receitas e Performance'!AB18)*-5%</f>
        <v>-146.62747124999999</v>
      </c>
      <c r="AE8" s="24">
        <f>('Receitas e Performance'!AC25+'Receitas e Performance'!AC18)*-5%</f>
        <v>-146.62747124999999</v>
      </c>
      <c r="AF8" s="24">
        <f>('Receitas e Performance'!AD25+'Receitas e Performance'!AD18)*-5%</f>
        <v>-146.62747124999999</v>
      </c>
      <c r="AG8" s="24">
        <f>('Receitas e Performance'!AE25+'Receitas e Performance'!AE18)*-5%</f>
        <v>-146.62747124999999</v>
      </c>
      <c r="AH8" s="24">
        <f>('Receitas e Performance'!AF25+'Receitas e Performance'!AF18)*-5%</f>
        <v>-146.62747124999999</v>
      </c>
      <c r="AI8" s="24">
        <f>('Receitas e Performance'!AG25+'Receitas e Performance'!AG18)*-5%</f>
        <v>-146.62747124999999</v>
      </c>
      <c r="AJ8" s="24">
        <f>('Receitas e Performance'!AH25+'Receitas e Performance'!AH18)*-5%</f>
        <v>-146.62747124999999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ht="5.25" customHeight="1"/>
    <row r="10" spans="1:56" s="25" customFormat="1">
      <c r="A10"/>
      <c r="B10"/>
      <c r="C10" s="1"/>
      <c r="D10" s="27" t="s">
        <v>96</v>
      </c>
      <c r="E10" s="28"/>
      <c r="F10" s="28"/>
      <c r="G10" s="29">
        <f t="shared" ref="G10:AJ10" si="2">G5+G6</f>
        <v>0</v>
      </c>
      <c r="H10" s="29">
        <f t="shared" si="2"/>
        <v>0</v>
      </c>
      <c r="I10" s="29">
        <f t="shared" si="2"/>
        <v>0</v>
      </c>
      <c r="J10" s="29">
        <f t="shared" si="2"/>
        <v>76529.217082774994</v>
      </c>
      <c r="K10" s="29">
        <f t="shared" si="2"/>
        <v>79280.352561024993</v>
      </c>
      <c r="L10" s="29">
        <f t="shared" si="2"/>
        <v>82824.599631937497</v>
      </c>
      <c r="M10" s="29">
        <f t="shared" si="2"/>
        <v>83510.09028393749</v>
      </c>
      <c r="N10" s="29">
        <f t="shared" si="2"/>
        <v>84881.071587937506</v>
      </c>
      <c r="O10" s="29">
        <f t="shared" si="2"/>
        <v>84881.071587937506</v>
      </c>
      <c r="P10" s="29">
        <f t="shared" si="2"/>
        <v>84881.071587937506</v>
      </c>
      <c r="Q10" s="29">
        <f t="shared" si="2"/>
        <v>84881.071587937506</v>
      </c>
      <c r="R10" s="29">
        <f t="shared" si="2"/>
        <v>84881.071587937506</v>
      </c>
      <c r="S10" s="29">
        <f t="shared" si="2"/>
        <v>84881.071587937506</v>
      </c>
      <c r="T10" s="29">
        <f t="shared" si="2"/>
        <v>84881.071587937506</v>
      </c>
      <c r="U10" s="29">
        <f t="shared" si="2"/>
        <v>84881.071587937506</v>
      </c>
      <c r="V10" s="29">
        <f t="shared" si="2"/>
        <v>84881.071587937506</v>
      </c>
      <c r="W10" s="29">
        <f t="shared" si="2"/>
        <v>84881.071587937506</v>
      </c>
      <c r="X10" s="29">
        <f t="shared" si="2"/>
        <v>84881.071587937506</v>
      </c>
      <c r="Y10" s="29">
        <f t="shared" si="2"/>
        <v>84881.071587937506</v>
      </c>
      <c r="Z10" s="29">
        <f t="shared" si="2"/>
        <v>84881.071587937506</v>
      </c>
      <c r="AA10" s="29">
        <f t="shared" si="2"/>
        <v>84881.071587937506</v>
      </c>
      <c r="AB10" s="29">
        <f t="shared" si="2"/>
        <v>84881.071587937506</v>
      </c>
      <c r="AC10" s="29">
        <f t="shared" si="2"/>
        <v>84881.071587937506</v>
      </c>
      <c r="AD10" s="29">
        <f t="shared" si="2"/>
        <v>84881.071587937506</v>
      </c>
      <c r="AE10" s="29">
        <f t="shared" si="2"/>
        <v>84881.071587937506</v>
      </c>
      <c r="AF10" s="29">
        <f t="shared" si="2"/>
        <v>84881.071587937506</v>
      </c>
      <c r="AG10" s="29">
        <f t="shared" si="2"/>
        <v>84881.071587937506</v>
      </c>
      <c r="AH10" s="29">
        <f t="shared" si="2"/>
        <v>84881.071587937506</v>
      </c>
      <c r="AI10" s="29">
        <f t="shared" si="2"/>
        <v>84881.071587937506</v>
      </c>
      <c r="AJ10" s="29">
        <f t="shared" si="2"/>
        <v>84881.071587937506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ht="6" customHeight="1"/>
    <row r="12" spans="1:56" s="25" customFormat="1">
      <c r="A12"/>
      <c r="B12"/>
      <c r="C12" s="1"/>
      <c r="D12" s="26" t="s">
        <v>97</v>
      </c>
      <c r="E12" s="23"/>
      <c r="F12" s="23"/>
      <c r="G12" s="24">
        <v>0</v>
      </c>
      <c r="H12" s="24">
        <v>0</v>
      </c>
      <c r="I12" s="24">
        <v>0</v>
      </c>
      <c r="J12" s="24">
        <f>-12023-4561</f>
        <v>-16584</v>
      </c>
      <c r="K12" s="24">
        <f>-12023</f>
        <v>-12023</v>
      </c>
      <c r="L12" s="24">
        <f t="shared" ref="L12:AJ12" si="3">K12</f>
        <v>-12023</v>
      </c>
      <c r="M12" s="24">
        <f t="shared" si="3"/>
        <v>-12023</v>
      </c>
      <c r="N12" s="24">
        <f>M12</f>
        <v>-12023</v>
      </c>
      <c r="O12" s="24">
        <f t="shared" si="3"/>
        <v>-12023</v>
      </c>
      <c r="P12" s="24">
        <f t="shared" si="3"/>
        <v>-12023</v>
      </c>
      <c r="Q12" s="24">
        <f t="shared" si="3"/>
        <v>-12023</v>
      </c>
      <c r="R12" s="24">
        <f t="shared" si="3"/>
        <v>-12023</v>
      </c>
      <c r="S12" s="24">
        <f t="shared" si="3"/>
        <v>-12023</v>
      </c>
      <c r="T12" s="24">
        <f t="shared" si="3"/>
        <v>-12023</v>
      </c>
      <c r="U12" s="24">
        <f t="shared" si="3"/>
        <v>-12023</v>
      </c>
      <c r="V12" s="24">
        <f t="shared" si="3"/>
        <v>-12023</v>
      </c>
      <c r="W12" s="24">
        <f t="shared" si="3"/>
        <v>-12023</v>
      </c>
      <c r="X12" s="24">
        <f t="shared" si="3"/>
        <v>-12023</v>
      </c>
      <c r="Y12" s="24">
        <f t="shared" si="3"/>
        <v>-12023</v>
      </c>
      <c r="Z12" s="24">
        <f t="shared" si="3"/>
        <v>-12023</v>
      </c>
      <c r="AA12" s="24">
        <f t="shared" si="3"/>
        <v>-12023</v>
      </c>
      <c r="AB12" s="24">
        <f t="shared" si="3"/>
        <v>-12023</v>
      </c>
      <c r="AC12" s="24">
        <f t="shared" si="3"/>
        <v>-12023</v>
      </c>
      <c r="AD12" s="24">
        <f t="shared" si="3"/>
        <v>-12023</v>
      </c>
      <c r="AE12" s="24">
        <f t="shared" si="3"/>
        <v>-12023</v>
      </c>
      <c r="AF12" s="24">
        <f t="shared" si="3"/>
        <v>-12023</v>
      </c>
      <c r="AG12" s="24">
        <f t="shared" si="3"/>
        <v>-12023</v>
      </c>
      <c r="AH12" s="24">
        <f t="shared" si="3"/>
        <v>-12023</v>
      </c>
      <c r="AI12" s="24">
        <f t="shared" si="3"/>
        <v>-12023</v>
      </c>
      <c r="AJ12" s="24">
        <f t="shared" si="3"/>
        <v>-12023</v>
      </c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ht="6" customHeight="1">
      <c r="D13" s="32"/>
    </row>
    <row r="14" spans="1:56" s="25" customFormat="1">
      <c r="A14"/>
      <c r="B14"/>
      <c r="C14" s="70">
        <v>0.05</v>
      </c>
      <c r="D14" s="26" t="s">
        <v>98</v>
      </c>
      <c r="E14" s="23"/>
      <c r="F14" s="23"/>
      <c r="G14" s="24">
        <f>-(G5-(Contraprestação!F4*12))*$C$14</f>
        <v>0</v>
      </c>
      <c r="H14" s="24">
        <f>-(H5-(Contraprestação!G4*12))*$C$14</f>
        <v>0</v>
      </c>
      <c r="I14" s="24">
        <f>-(I5-(Contraprestação!H4*12))*$C$14</f>
        <v>0</v>
      </c>
      <c r="J14" s="24">
        <f>-(J5-(Contraprestação!I4*12))*$C$14</f>
        <v>-259.11118849999986</v>
      </c>
      <c r="K14" s="24">
        <f>-(K5-(Contraprestação!J4*12))*$C$14</f>
        <v>-412.89830349999977</v>
      </c>
      <c r="L14" s="24">
        <f>-(L5-(Contraprestação!K4*12))*$C$14</f>
        <v>-611.41747124999972</v>
      </c>
      <c r="M14" s="24">
        <f>-(M5-(Contraprestação!L4*12))*$C$14</f>
        <v>-649.18555124999989</v>
      </c>
      <c r="N14" s="24">
        <f>-(N5-(Contraprestação!M4*12))*$C$14</f>
        <v>-724.72171125000023</v>
      </c>
      <c r="O14" s="24">
        <f>-(O5-(Contraprestação!N4*12))*$C$14</f>
        <v>-724.72171125000023</v>
      </c>
      <c r="P14" s="24">
        <f>-(P5-(Contraprestação!O4*12))*$C$14</f>
        <v>-724.72171125000023</v>
      </c>
      <c r="Q14" s="24">
        <f>-(Q5-(Contraprestação!P4*12))*$C$14</f>
        <v>-724.72171125000023</v>
      </c>
      <c r="R14" s="24">
        <f>-(R5-(Contraprestação!Q4*12))*$C$14</f>
        <v>-724.72171125000023</v>
      </c>
      <c r="S14" s="24">
        <f>-(S5-(Contraprestação!R4*12))*$C$14</f>
        <v>-724.72171125000023</v>
      </c>
      <c r="T14" s="24">
        <f>-(T5-(Contraprestação!S4*12))*$C$14</f>
        <v>-724.72171125000023</v>
      </c>
      <c r="U14" s="24">
        <f>-(U5-(Contraprestação!T4*12))*$C$14</f>
        <v>-724.72171125000023</v>
      </c>
      <c r="V14" s="24">
        <f>-(V5-(Contraprestação!U4*12))*$C$14</f>
        <v>-724.72171125000023</v>
      </c>
      <c r="W14" s="24">
        <f>-(W5-(Contraprestação!V4*12))*$C$14</f>
        <v>-724.72171125000023</v>
      </c>
      <c r="X14" s="24">
        <f>-(X5-(Contraprestação!W4*12))*$C$14</f>
        <v>-724.72171125000023</v>
      </c>
      <c r="Y14" s="24">
        <f>-(Y5-(Contraprestação!X4*12))*$C$14</f>
        <v>-724.72171125000023</v>
      </c>
      <c r="Z14" s="24">
        <f>-(Z5-(Contraprestação!Y4*12))*$C$14</f>
        <v>-724.72171125000023</v>
      </c>
      <c r="AA14" s="24">
        <f>-(AA5-(Contraprestação!Z4*12))*$C$14</f>
        <v>-724.72171125000023</v>
      </c>
      <c r="AB14" s="24">
        <f>-(AB5-(Contraprestação!AA4*12))*$C$14</f>
        <v>-724.72171125000023</v>
      </c>
      <c r="AC14" s="24">
        <f>-(AC5-(Contraprestação!AB4*12))*$C$14</f>
        <v>-724.72171125000023</v>
      </c>
      <c r="AD14" s="24">
        <f>-(AD5-(Contraprestação!AC4*12))*$C$14</f>
        <v>-724.72171125000023</v>
      </c>
      <c r="AE14" s="24">
        <f>-(AE5-(Contraprestação!AD4*12))*$C$14</f>
        <v>-724.72171125000023</v>
      </c>
      <c r="AF14" s="24">
        <f>-(AF5-(Contraprestação!AE4*12))*$C$14</f>
        <v>-724.72171125000023</v>
      </c>
      <c r="AG14" s="24">
        <f>-(AG5-(Contraprestação!AF4*12))*$C$14</f>
        <v>-724.72171125000023</v>
      </c>
      <c r="AH14" s="24">
        <f>-(AH5-(Contraprestação!AG4*12))*$C$14</f>
        <v>-724.72171125000023</v>
      </c>
      <c r="AI14" s="24">
        <f>-(AI5-(Contraprestação!AH4*12))*$C$14</f>
        <v>-724.72171125000023</v>
      </c>
      <c r="AJ14" s="24">
        <f>-(AJ5-(Contraprestação!AI4*12))*$C$14</f>
        <v>-724.72171125000023</v>
      </c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ht="6" customHeight="1"/>
    <row r="16" spans="1:56" s="25" customFormat="1">
      <c r="A16"/>
      <c r="B16"/>
      <c r="C16" s="30"/>
      <c r="D16" s="26" t="s">
        <v>99</v>
      </c>
      <c r="E16" s="23"/>
      <c r="F16" s="23"/>
      <c r="G16" s="24">
        <f>G66</f>
        <v>0</v>
      </c>
      <c r="H16" s="24">
        <f t="shared" ref="H16:AJ16" si="4">H66</f>
        <v>0</v>
      </c>
      <c r="I16" s="24">
        <f t="shared" si="4"/>
        <v>0</v>
      </c>
      <c r="J16" s="24">
        <f t="shared" si="4"/>
        <v>-14168.71352222222</v>
      </c>
      <c r="K16" s="24">
        <f t="shared" si="4"/>
        <v>-14168.71352222222</v>
      </c>
      <c r="L16" s="24">
        <f t="shared" si="4"/>
        <v>-14168.71352222222</v>
      </c>
      <c r="M16" s="24">
        <f t="shared" si="4"/>
        <v>-14168.71352222222</v>
      </c>
      <c r="N16" s="24">
        <f t="shared" si="4"/>
        <v>-14168.71352222222</v>
      </c>
      <c r="O16" s="24">
        <f t="shared" si="4"/>
        <v>-14168.71352222222</v>
      </c>
      <c r="P16" s="24">
        <f t="shared" si="4"/>
        <v>-14168.71352222222</v>
      </c>
      <c r="Q16" s="24">
        <f t="shared" si="4"/>
        <v>-14168.71352222222</v>
      </c>
      <c r="R16" s="24">
        <f t="shared" si="4"/>
        <v>-14168.71352222222</v>
      </c>
      <c r="S16" s="24">
        <f t="shared" si="4"/>
        <v>-14168.71352222222</v>
      </c>
      <c r="T16" s="24">
        <f t="shared" si="4"/>
        <v>-14168.71352222222</v>
      </c>
      <c r="U16" s="24">
        <f t="shared" si="4"/>
        <v>-14168.71352222222</v>
      </c>
      <c r="V16" s="24">
        <f t="shared" si="4"/>
        <v>-14168.71352222222</v>
      </c>
      <c r="W16" s="24">
        <f t="shared" si="4"/>
        <v>-14168.71352222222</v>
      </c>
      <c r="X16" s="24">
        <f t="shared" si="4"/>
        <v>-14168.71352222222</v>
      </c>
      <c r="Y16" s="24">
        <f t="shared" si="4"/>
        <v>-14168.71352222222</v>
      </c>
      <c r="Z16" s="24">
        <f t="shared" si="4"/>
        <v>-14168.71352222222</v>
      </c>
      <c r="AA16" s="24">
        <f t="shared" si="4"/>
        <v>-14168.71352222222</v>
      </c>
      <c r="AB16" s="24">
        <f t="shared" si="4"/>
        <v>-14168.71352222222</v>
      </c>
      <c r="AC16" s="24">
        <f t="shared" si="4"/>
        <v>-14168.71352222222</v>
      </c>
      <c r="AD16" s="24">
        <f t="shared" si="4"/>
        <v>-14168.71352222222</v>
      </c>
      <c r="AE16" s="24">
        <f t="shared" si="4"/>
        <v>-14168.71352222222</v>
      </c>
      <c r="AF16" s="24">
        <f t="shared" si="4"/>
        <v>-14168.71352222222</v>
      </c>
      <c r="AG16" s="24">
        <f t="shared" si="4"/>
        <v>-14168.71352222222</v>
      </c>
      <c r="AH16" s="24">
        <f t="shared" si="4"/>
        <v>-14168.71352222222</v>
      </c>
      <c r="AI16" s="24">
        <f t="shared" si="4"/>
        <v>-14168.71352222222</v>
      </c>
      <c r="AJ16" s="24">
        <f t="shared" si="4"/>
        <v>-14168.71352222222</v>
      </c>
      <c r="AK16" s="3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ht="6" customHeight="1"/>
    <row r="18" spans="1:56" s="25" customFormat="1">
      <c r="A18"/>
      <c r="B18"/>
      <c r="C18" s="1"/>
      <c r="D18" s="44" t="s">
        <v>100</v>
      </c>
      <c r="E18" s="28"/>
      <c r="F18" s="28"/>
      <c r="G18" s="29">
        <f t="shared" ref="G18:AJ18" si="5">SUM(G10:G16)</f>
        <v>0</v>
      </c>
      <c r="H18" s="29">
        <f t="shared" si="5"/>
        <v>0</v>
      </c>
      <c r="I18" s="29">
        <f t="shared" si="5"/>
        <v>0</v>
      </c>
      <c r="J18" s="29">
        <f t="shared" si="5"/>
        <v>45517.392372052775</v>
      </c>
      <c r="K18" s="29">
        <f t="shared" si="5"/>
        <v>52675.740735302774</v>
      </c>
      <c r="L18" s="29">
        <f t="shared" si="5"/>
        <v>56021.468638465281</v>
      </c>
      <c r="M18" s="29">
        <f t="shared" si="5"/>
        <v>56669.191210465266</v>
      </c>
      <c r="N18" s="29">
        <f t="shared" si="5"/>
        <v>57964.636354465292</v>
      </c>
      <c r="O18" s="29">
        <f t="shared" si="5"/>
        <v>57964.636354465292</v>
      </c>
      <c r="P18" s="29">
        <f t="shared" si="5"/>
        <v>57964.636354465292</v>
      </c>
      <c r="Q18" s="29">
        <f t="shared" si="5"/>
        <v>57964.636354465292</v>
      </c>
      <c r="R18" s="29">
        <f t="shared" si="5"/>
        <v>57964.636354465292</v>
      </c>
      <c r="S18" s="29">
        <f t="shared" si="5"/>
        <v>57964.636354465292</v>
      </c>
      <c r="T18" s="29">
        <f t="shared" si="5"/>
        <v>57964.636354465292</v>
      </c>
      <c r="U18" s="29">
        <f t="shared" si="5"/>
        <v>57964.636354465292</v>
      </c>
      <c r="V18" s="29">
        <f t="shared" si="5"/>
        <v>57964.636354465292</v>
      </c>
      <c r="W18" s="29">
        <f t="shared" si="5"/>
        <v>57964.636354465292</v>
      </c>
      <c r="X18" s="29">
        <f t="shared" si="5"/>
        <v>57964.636354465292</v>
      </c>
      <c r="Y18" s="29">
        <f t="shared" si="5"/>
        <v>57964.636354465292</v>
      </c>
      <c r="Z18" s="29">
        <f t="shared" si="5"/>
        <v>57964.636354465292</v>
      </c>
      <c r="AA18" s="29">
        <f t="shared" si="5"/>
        <v>57964.636354465292</v>
      </c>
      <c r="AB18" s="29">
        <f t="shared" si="5"/>
        <v>57964.636354465292</v>
      </c>
      <c r="AC18" s="29">
        <f t="shared" si="5"/>
        <v>57964.636354465292</v>
      </c>
      <c r="AD18" s="29">
        <f t="shared" si="5"/>
        <v>57964.636354465292</v>
      </c>
      <c r="AE18" s="29">
        <f t="shared" si="5"/>
        <v>57964.636354465292</v>
      </c>
      <c r="AF18" s="29">
        <f t="shared" si="5"/>
        <v>57964.636354465292</v>
      </c>
      <c r="AG18" s="29">
        <f t="shared" si="5"/>
        <v>57964.636354465292</v>
      </c>
      <c r="AH18" s="29">
        <f t="shared" si="5"/>
        <v>57964.636354465292</v>
      </c>
      <c r="AI18" s="29">
        <f t="shared" si="5"/>
        <v>57964.636354465292</v>
      </c>
      <c r="AJ18" s="29">
        <f t="shared" si="5"/>
        <v>57964.636354465292</v>
      </c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ht="5.25" customHeight="1"/>
    <row r="20" spans="1:56" s="25" customFormat="1">
      <c r="A20"/>
      <c r="B20"/>
      <c r="C20" s="30"/>
      <c r="D20" s="26" t="s">
        <v>101</v>
      </c>
      <c r="E20" s="23"/>
      <c r="F20" s="23"/>
      <c r="G20" s="24">
        <f t="shared" ref="G20:AJ20" si="6">IF(G18&lt;0,0,-34%*G18)</f>
        <v>0</v>
      </c>
      <c r="H20" s="24">
        <f t="shared" si="6"/>
        <v>0</v>
      </c>
      <c r="I20" s="24">
        <f t="shared" si="6"/>
        <v>0</v>
      </c>
      <c r="J20" s="24">
        <f t="shared" si="6"/>
        <v>-15475.913406497944</v>
      </c>
      <c r="K20" s="24">
        <f t="shared" si="6"/>
        <v>-17909.751850002944</v>
      </c>
      <c r="L20" s="24">
        <f t="shared" si="6"/>
        <v>-19047.299337078199</v>
      </c>
      <c r="M20" s="24">
        <f t="shared" si="6"/>
        <v>-19267.525011558191</v>
      </c>
      <c r="N20" s="24">
        <f t="shared" si="6"/>
        <v>-19707.976360518202</v>
      </c>
      <c r="O20" s="24">
        <f t="shared" si="6"/>
        <v>-19707.976360518202</v>
      </c>
      <c r="P20" s="24">
        <f t="shared" si="6"/>
        <v>-19707.976360518202</v>
      </c>
      <c r="Q20" s="24">
        <f t="shared" si="6"/>
        <v>-19707.976360518202</v>
      </c>
      <c r="R20" s="24">
        <f t="shared" si="6"/>
        <v>-19707.976360518202</v>
      </c>
      <c r="S20" s="24">
        <f t="shared" si="6"/>
        <v>-19707.976360518202</v>
      </c>
      <c r="T20" s="24">
        <f t="shared" si="6"/>
        <v>-19707.976360518202</v>
      </c>
      <c r="U20" s="24">
        <f t="shared" si="6"/>
        <v>-19707.976360518202</v>
      </c>
      <c r="V20" s="24">
        <f t="shared" si="6"/>
        <v>-19707.976360518202</v>
      </c>
      <c r="W20" s="24">
        <f t="shared" si="6"/>
        <v>-19707.976360518202</v>
      </c>
      <c r="X20" s="24">
        <f t="shared" si="6"/>
        <v>-19707.976360518202</v>
      </c>
      <c r="Y20" s="24">
        <f t="shared" si="6"/>
        <v>-19707.976360518202</v>
      </c>
      <c r="Z20" s="24">
        <f t="shared" si="6"/>
        <v>-19707.976360518202</v>
      </c>
      <c r="AA20" s="24">
        <f t="shared" si="6"/>
        <v>-19707.976360518202</v>
      </c>
      <c r="AB20" s="24">
        <f t="shared" si="6"/>
        <v>-19707.976360518202</v>
      </c>
      <c r="AC20" s="24">
        <f t="shared" si="6"/>
        <v>-19707.976360518202</v>
      </c>
      <c r="AD20" s="24">
        <f t="shared" si="6"/>
        <v>-19707.976360518202</v>
      </c>
      <c r="AE20" s="24">
        <f t="shared" si="6"/>
        <v>-19707.976360518202</v>
      </c>
      <c r="AF20" s="24">
        <f t="shared" si="6"/>
        <v>-19707.976360518202</v>
      </c>
      <c r="AG20" s="24">
        <f t="shared" si="6"/>
        <v>-19707.976360518202</v>
      </c>
      <c r="AH20" s="24">
        <f t="shared" si="6"/>
        <v>-19707.976360518202</v>
      </c>
      <c r="AI20" s="24">
        <f t="shared" si="6"/>
        <v>-19707.976360518202</v>
      </c>
      <c r="AJ20" s="24">
        <f t="shared" si="6"/>
        <v>-19707.976360518202</v>
      </c>
      <c r="AK20" s="3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ht="6" customHeight="1"/>
    <row r="22" spans="1:56" s="25" customFormat="1">
      <c r="A22"/>
      <c r="B22"/>
      <c r="C22" s="30"/>
      <c r="D22" s="26" t="s">
        <v>99</v>
      </c>
      <c r="E22" s="23"/>
      <c r="F22" s="23"/>
      <c r="G22" s="24">
        <f t="shared" ref="G22:AJ22" si="7">-G16</f>
        <v>0</v>
      </c>
      <c r="H22" s="24">
        <f t="shared" si="7"/>
        <v>0</v>
      </c>
      <c r="I22" s="24">
        <f t="shared" si="7"/>
        <v>0</v>
      </c>
      <c r="J22" s="24">
        <f t="shared" si="7"/>
        <v>14168.71352222222</v>
      </c>
      <c r="K22" s="24">
        <f t="shared" si="7"/>
        <v>14168.71352222222</v>
      </c>
      <c r="L22" s="24">
        <f t="shared" si="7"/>
        <v>14168.71352222222</v>
      </c>
      <c r="M22" s="24">
        <f t="shared" si="7"/>
        <v>14168.71352222222</v>
      </c>
      <c r="N22" s="24">
        <f t="shared" si="7"/>
        <v>14168.71352222222</v>
      </c>
      <c r="O22" s="24">
        <f t="shared" si="7"/>
        <v>14168.71352222222</v>
      </c>
      <c r="P22" s="24">
        <f t="shared" si="7"/>
        <v>14168.71352222222</v>
      </c>
      <c r="Q22" s="24">
        <f t="shared" si="7"/>
        <v>14168.71352222222</v>
      </c>
      <c r="R22" s="24">
        <f t="shared" si="7"/>
        <v>14168.71352222222</v>
      </c>
      <c r="S22" s="24">
        <f t="shared" si="7"/>
        <v>14168.71352222222</v>
      </c>
      <c r="T22" s="24">
        <f t="shared" si="7"/>
        <v>14168.71352222222</v>
      </c>
      <c r="U22" s="24">
        <f t="shared" si="7"/>
        <v>14168.71352222222</v>
      </c>
      <c r="V22" s="24">
        <f t="shared" si="7"/>
        <v>14168.71352222222</v>
      </c>
      <c r="W22" s="24">
        <f t="shared" si="7"/>
        <v>14168.71352222222</v>
      </c>
      <c r="X22" s="24">
        <f t="shared" si="7"/>
        <v>14168.71352222222</v>
      </c>
      <c r="Y22" s="24">
        <f t="shared" si="7"/>
        <v>14168.71352222222</v>
      </c>
      <c r="Z22" s="24">
        <f t="shared" si="7"/>
        <v>14168.71352222222</v>
      </c>
      <c r="AA22" s="24">
        <f t="shared" si="7"/>
        <v>14168.71352222222</v>
      </c>
      <c r="AB22" s="24">
        <f t="shared" si="7"/>
        <v>14168.71352222222</v>
      </c>
      <c r="AC22" s="24">
        <f t="shared" si="7"/>
        <v>14168.71352222222</v>
      </c>
      <c r="AD22" s="24">
        <f t="shared" si="7"/>
        <v>14168.71352222222</v>
      </c>
      <c r="AE22" s="24">
        <f t="shared" si="7"/>
        <v>14168.71352222222</v>
      </c>
      <c r="AF22" s="24">
        <f t="shared" si="7"/>
        <v>14168.71352222222</v>
      </c>
      <c r="AG22" s="24">
        <f t="shared" si="7"/>
        <v>14168.71352222222</v>
      </c>
      <c r="AH22" s="24">
        <f t="shared" si="7"/>
        <v>14168.71352222222</v>
      </c>
      <c r="AI22" s="24">
        <f t="shared" si="7"/>
        <v>14168.71352222222</v>
      </c>
      <c r="AJ22" s="24">
        <f t="shared" si="7"/>
        <v>14168.71352222222</v>
      </c>
      <c r="AK22" s="3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ht="6" customHeight="1">
      <c r="C23" s="30"/>
    </row>
    <row r="24" spans="1:56" s="25" customFormat="1">
      <c r="A24"/>
      <c r="B24"/>
      <c r="C24" s="30"/>
      <c r="D24" s="26" t="s">
        <v>102</v>
      </c>
      <c r="E24" s="23"/>
      <c r="F24" s="23"/>
      <c r="G24" s="24">
        <f>-'CAPEX Cronograma'!G4</f>
        <v>-133894.34278499999</v>
      </c>
      <c r="H24" s="24">
        <f>-'CAPEX Cronograma'!H4</f>
        <v>-191277.63255000001</v>
      </c>
      <c r="I24" s="24">
        <f>-'CAPEX Cronograma'!I4</f>
        <v>-57383.289765000001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ht="6" customHeight="1">
      <c r="C25" s="30"/>
      <c r="D25" s="32"/>
    </row>
    <row r="26" spans="1:56" s="25" customFormat="1">
      <c r="A26"/>
      <c r="B26"/>
      <c r="C26" s="30"/>
      <c r="D26" s="37" t="s">
        <v>103</v>
      </c>
      <c r="E26" s="38"/>
      <c r="F26" s="38"/>
      <c r="G26" s="39">
        <f t="shared" ref="G26:AJ26" si="8">SUM(G18+G20+G22+G24)</f>
        <v>-133894.34278499999</v>
      </c>
      <c r="H26" s="39">
        <f t="shared" si="8"/>
        <v>-191277.63255000001</v>
      </c>
      <c r="I26" s="39">
        <f t="shared" si="8"/>
        <v>-57383.289765000001</v>
      </c>
      <c r="J26" s="39">
        <f t="shared" si="8"/>
        <v>44210.192487777051</v>
      </c>
      <c r="K26" s="39">
        <f t="shared" si="8"/>
        <v>48934.702407522047</v>
      </c>
      <c r="L26" s="39">
        <f t="shared" si="8"/>
        <v>51142.882823609303</v>
      </c>
      <c r="M26" s="39">
        <f t="shared" si="8"/>
        <v>51570.379721129291</v>
      </c>
      <c r="N26" s="39">
        <f t="shared" si="8"/>
        <v>52425.373516169311</v>
      </c>
      <c r="O26" s="39">
        <f t="shared" si="8"/>
        <v>52425.373516169311</v>
      </c>
      <c r="P26" s="39">
        <f t="shared" si="8"/>
        <v>52425.373516169311</v>
      </c>
      <c r="Q26" s="39">
        <f t="shared" si="8"/>
        <v>52425.373516169311</v>
      </c>
      <c r="R26" s="39">
        <f t="shared" si="8"/>
        <v>52425.373516169311</v>
      </c>
      <c r="S26" s="39">
        <f t="shared" si="8"/>
        <v>52425.373516169311</v>
      </c>
      <c r="T26" s="39">
        <f t="shared" si="8"/>
        <v>52425.373516169311</v>
      </c>
      <c r="U26" s="39">
        <f t="shared" si="8"/>
        <v>52425.373516169311</v>
      </c>
      <c r="V26" s="39">
        <f t="shared" si="8"/>
        <v>52425.373516169311</v>
      </c>
      <c r="W26" s="39">
        <f t="shared" si="8"/>
        <v>52425.373516169311</v>
      </c>
      <c r="X26" s="39">
        <f t="shared" si="8"/>
        <v>52425.373516169311</v>
      </c>
      <c r="Y26" s="39">
        <f t="shared" si="8"/>
        <v>52425.373516169311</v>
      </c>
      <c r="Z26" s="39">
        <f t="shared" si="8"/>
        <v>52425.373516169311</v>
      </c>
      <c r="AA26" s="39">
        <f t="shared" si="8"/>
        <v>52425.373516169311</v>
      </c>
      <c r="AB26" s="39">
        <f t="shared" si="8"/>
        <v>52425.373516169311</v>
      </c>
      <c r="AC26" s="39">
        <f t="shared" si="8"/>
        <v>52425.373516169311</v>
      </c>
      <c r="AD26" s="39">
        <f t="shared" si="8"/>
        <v>52425.373516169311</v>
      </c>
      <c r="AE26" s="39">
        <f t="shared" si="8"/>
        <v>52425.373516169311</v>
      </c>
      <c r="AF26" s="39">
        <f t="shared" si="8"/>
        <v>52425.373516169311</v>
      </c>
      <c r="AG26" s="39">
        <f t="shared" si="8"/>
        <v>52425.373516169311</v>
      </c>
      <c r="AH26" s="39">
        <f t="shared" si="8"/>
        <v>52425.373516169311</v>
      </c>
      <c r="AI26" s="39">
        <f t="shared" si="8"/>
        <v>52425.373516169311</v>
      </c>
      <c r="AJ26" s="39">
        <f t="shared" si="8"/>
        <v>52425.373516169311</v>
      </c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ht="5.25" customHeight="1"/>
    <row r="28" spans="1:56" s="25" customFormat="1">
      <c r="A28"/>
      <c r="B28"/>
      <c r="C28" s="31"/>
      <c r="D28" s="37" t="s">
        <v>104</v>
      </c>
      <c r="E28" s="38"/>
      <c r="F28" s="38"/>
      <c r="G28" s="39">
        <f>G26</f>
        <v>-133894.34278499999</v>
      </c>
      <c r="H28" s="39">
        <f>H26+G28</f>
        <v>-325171.97533499997</v>
      </c>
      <c r="I28" s="39">
        <f t="shared" ref="I28:AJ28" si="9">I26+H28</f>
        <v>-382555.26509999996</v>
      </c>
      <c r="J28" s="39">
        <f t="shared" si="9"/>
        <v>-338345.07261222292</v>
      </c>
      <c r="K28" s="39">
        <f t="shared" si="9"/>
        <v>-289410.37020470086</v>
      </c>
      <c r="L28" s="39">
        <f t="shared" si="9"/>
        <v>-238267.48738109155</v>
      </c>
      <c r="M28" s="39">
        <f t="shared" si="9"/>
        <v>-186697.10765996226</v>
      </c>
      <c r="N28" s="39">
        <f t="shared" si="9"/>
        <v>-134271.73414379294</v>
      </c>
      <c r="O28" s="39">
        <f t="shared" si="9"/>
        <v>-81846.360627623624</v>
      </c>
      <c r="P28" s="39">
        <f t="shared" si="9"/>
        <v>-29420.987111454313</v>
      </c>
      <c r="Q28" s="39">
        <f t="shared" si="9"/>
        <v>23004.386404714998</v>
      </c>
      <c r="R28" s="39">
        <f t="shared" si="9"/>
        <v>75429.759920884302</v>
      </c>
      <c r="S28" s="39">
        <f t="shared" si="9"/>
        <v>127855.13343705362</v>
      </c>
      <c r="T28" s="39">
        <f t="shared" si="9"/>
        <v>180280.50695322294</v>
      </c>
      <c r="U28" s="39">
        <f t="shared" si="9"/>
        <v>232705.88046939226</v>
      </c>
      <c r="V28" s="39">
        <f t="shared" si="9"/>
        <v>285131.25398556155</v>
      </c>
      <c r="W28" s="39">
        <f t="shared" si="9"/>
        <v>337556.62750173087</v>
      </c>
      <c r="X28" s="39">
        <f t="shared" si="9"/>
        <v>389982.00101790018</v>
      </c>
      <c r="Y28" s="39">
        <f t="shared" si="9"/>
        <v>442407.3745340695</v>
      </c>
      <c r="Z28" s="39">
        <f t="shared" si="9"/>
        <v>494832.74805023882</v>
      </c>
      <c r="AA28" s="39">
        <f t="shared" si="9"/>
        <v>547258.12156640808</v>
      </c>
      <c r="AB28" s="39">
        <f t="shared" si="9"/>
        <v>599683.49508257734</v>
      </c>
      <c r="AC28" s="39">
        <f t="shared" si="9"/>
        <v>652108.8685987466</v>
      </c>
      <c r="AD28" s="39">
        <f t="shared" si="9"/>
        <v>704534.24211491586</v>
      </c>
      <c r="AE28" s="39">
        <f t="shared" si="9"/>
        <v>756959.61563108512</v>
      </c>
      <c r="AF28" s="39">
        <f t="shared" si="9"/>
        <v>809384.98914725438</v>
      </c>
      <c r="AG28" s="39">
        <f t="shared" si="9"/>
        <v>861810.36266342364</v>
      </c>
      <c r="AH28" s="39">
        <f t="shared" si="9"/>
        <v>914235.7361795929</v>
      </c>
      <c r="AI28" s="39">
        <f t="shared" si="9"/>
        <v>966661.10969576216</v>
      </c>
      <c r="AJ28" s="39">
        <f t="shared" si="9"/>
        <v>1019086.4832119314</v>
      </c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ht="6" customHeight="1">
      <c r="D29" s="32"/>
    </row>
    <row r="30" spans="1:56" ht="7.5" customHeight="1"/>
    <row r="31" spans="1:56" ht="6" customHeight="1"/>
    <row r="32" spans="1:56">
      <c r="E32" s="6" t="s">
        <v>105</v>
      </c>
      <c r="F32" s="4"/>
      <c r="G32" s="97">
        <f>IRR(G26:AJ26,-50%)</f>
        <v>0.11044587231698855</v>
      </c>
    </row>
    <row r="33" spans="5:7">
      <c r="E33" s="6"/>
      <c r="F33" s="4"/>
      <c r="G33" s="7"/>
    </row>
    <row r="53" spans="1:37" s="1" customFormat="1">
      <c r="A53"/>
      <c r="B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7">
      <c r="G54" s="3"/>
      <c r="H54" s="3"/>
    </row>
    <row r="55" spans="1:37" s="9" customFormat="1">
      <c r="C55" s="8"/>
    </row>
    <row r="57" spans="1:37" ht="18">
      <c r="D57" s="100" t="s">
        <v>99</v>
      </c>
    </row>
    <row r="58" spans="1:37" s="34" customFormat="1" ht="21">
      <c r="C58" s="35"/>
      <c r="D58" s="118" t="s">
        <v>79</v>
      </c>
      <c r="E58" s="118"/>
      <c r="F58" s="118"/>
      <c r="G58" s="36">
        <v>1</v>
      </c>
      <c r="H58" s="36">
        <v>2</v>
      </c>
      <c r="I58" s="36">
        <v>3</v>
      </c>
      <c r="J58" s="36">
        <v>4</v>
      </c>
      <c r="K58" s="36">
        <v>5</v>
      </c>
      <c r="L58" s="36">
        <v>6</v>
      </c>
      <c r="M58" s="36">
        <v>7</v>
      </c>
      <c r="N58" s="36">
        <v>8</v>
      </c>
      <c r="O58" s="36">
        <v>9</v>
      </c>
      <c r="P58" s="36">
        <v>10</v>
      </c>
      <c r="Q58" s="36">
        <v>11</v>
      </c>
      <c r="R58" s="36">
        <v>12</v>
      </c>
      <c r="S58" s="36">
        <v>13</v>
      </c>
      <c r="T58" s="36">
        <v>14</v>
      </c>
      <c r="U58" s="36">
        <v>15</v>
      </c>
      <c r="V58" s="36">
        <v>16</v>
      </c>
      <c r="W58" s="36">
        <v>17</v>
      </c>
      <c r="X58" s="36">
        <v>18</v>
      </c>
      <c r="Y58" s="36">
        <v>19</v>
      </c>
      <c r="Z58" s="36">
        <v>20</v>
      </c>
      <c r="AA58" s="36">
        <v>21</v>
      </c>
      <c r="AB58" s="36">
        <v>22</v>
      </c>
      <c r="AC58" s="36">
        <v>23</v>
      </c>
      <c r="AD58" s="36">
        <v>24</v>
      </c>
      <c r="AE58" s="36">
        <v>25</v>
      </c>
      <c r="AF58" s="36">
        <v>26</v>
      </c>
      <c r="AG58" s="36">
        <v>27</v>
      </c>
      <c r="AH58" s="36">
        <v>28</v>
      </c>
      <c r="AI58" s="36">
        <v>29</v>
      </c>
      <c r="AJ58" s="36">
        <v>30</v>
      </c>
    </row>
    <row r="59" spans="1:37">
      <c r="D59" s="119" t="s">
        <v>90</v>
      </c>
      <c r="E59" s="119"/>
      <c r="F59" s="119"/>
      <c r="G59" s="3">
        <f t="shared" ref="G59:AJ59" si="10">G24</f>
        <v>-133894.34278499999</v>
      </c>
      <c r="H59" s="3">
        <f t="shared" si="10"/>
        <v>-191277.63255000001</v>
      </c>
      <c r="I59" s="3">
        <f t="shared" si="10"/>
        <v>-57383.289765000001</v>
      </c>
      <c r="J59" s="3">
        <f t="shared" si="10"/>
        <v>0</v>
      </c>
      <c r="K59" s="3">
        <f t="shared" si="10"/>
        <v>0</v>
      </c>
      <c r="L59" s="3">
        <f t="shared" si="10"/>
        <v>0</v>
      </c>
      <c r="M59" s="3">
        <f t="shared" si="10"/>
        <v>0</v>
      </c>
      <c r="N59" s="3">
        <f t="shared" si="10"/>
        <v>0</v>
      </c>
      <c r="O59" s="3">
        <f t="shared" si="10"/>
        <v>0</v>
      </c>
      <c r="P59" s="3">
        <f t="shared" si="10"/>
        <v>0</v>
      </c>
      <c r="Q59" s="3">
        <f t="shared" si="10"/>
        <v>0</v>
      </c>
      <c r="R59" s="3">
        <f t="shared" si="10"/>
        <v>0</v>
      </c>
      <c r="S59" s="3">
        <f t="shared" si="10"/>
        <v>0</v>
      </c>
      <c r="T59" s="3">
        <f t="shared" si="10"/>
        <v>0</v>
      </c>
      <c r="U59" s="3">
        <f t="shared" si="10"/>
        <v>0</v>
      </c>
      <c r="V59" s="3">
        <f t="shared" si="10"/>
        <v>0</v>
      </c>
      <c r="W59" s="3">
        <f t="shared" si="10"/>
        <v>0</v>
      </c>
      <c r="X59" s="3">
        <f t="shared" si="10"/>
        <v>0</v>
      </c>
      <c r="Y59" s="3">
        <f t="shared" si="10"/>
        <v>0</v>
      </c>
      <c r="Z59" s="3">
        <f t="shared" si="10"/>
        <v>0</v>
      </c>
      <c r="AA59" s="3">
        <f t="shared" si="10"/>
        <v>0</v>
      </c>
      <c r="AB59" s="3">
        <f t="shared" si="10"/>
        <v>0</v>
      </c>
      <c r="AC59" s="3">
        <f t="shared" si="10"/>
        <v>0</v>
      </c>
      <c r="AD59" s="3">
        <f t="shared" si="10"/>
        <v>0</v>
      </c>
      <c r="AE59" s="3">
        <f t="shared" si="10"/>
        <v>0</v>
      </c>
      <c r="AF59" s="3">
        <f t="shared" si="10"/>
        <v>0</v>
      </c>
      <c r="AG59" s="3">
        <f t="shared" si="10"/>
        <v>0</v>
      </c>
      <c r="AH59" s="3">
        <f t="shared" si="10"/>
        <v>0</v>
      </c>
      <c r="AI59" s="3">
        <f t="shared" si="10"/>
        <v>0</v>
      </c>
      <c r="AJ59" s="3">
        <f t="shared" si="10"/>
        <v>0</v>
      </c>
      <c r="AK59" s="3">
        <f>SUM(G59:AJ59)</f>
        <v>-382555.26509999996</v>
      </c>
    </row>
    <row r="60" spans="1:37">
      <c r="D60" s="119" t="s">
        <v>106</v>
      </c>
      <c r="E60" s="119"/>
      <c r="F60" s="119"/>
      <c r="G60" s="3">
        <f>G59</f>
        <v>-133894.34278499999</v>
      </c>
      <c r="H60" s="3">
        <f>H59+G60</f>
        <v>-325171.97533499997</v>
      </c>
      <c r="I60" s="3">
        <f>I59+H60</f>
        <v>-382555.26509999996</v>
      </c>
      <c r="J60" s="3">
        <f t="shared" ref="J60:AJ60" si="11">J59+I60</f>
        <v>-382555.26509999996</v>
      </c>
      <c r="K60" s="3">
        <f t="shared" si="11"/>
        <v>-382555.26509999996</v>
      </c>
      <c r="L60" s="3">
        <f t="shared" si="11"/>
        <v>-382555.26509999996</v>
      </c>
      <c r="M60" s="3">
        <f t="shared" si="11"/>
        <v>-382555.26509999996</v>
      </c>
      <c r="N60" s="3">
        <f t="shared" si="11"/>
        <v>-382555.26509999996</v>
      </c>
      <c r="O60" s="3">
        <f t="shared" si="11"/>
        <v>-382555.26509999996</v>
      </c>
      <c r="P60" s="3">
        <f t="shared" si="11"/>
        <v>-382555.26509999996</v>
      </c>
      <c r="Q60" s="3">
        <f t="shared" si="11"/>
        <v>-382555.26509999996</v>
      </c>
      <c r="R60" s="3">
        <f t="shared" si="11"/>
        <v>-382555.26509999996</v>
      </c>
      <c r="S60" s="3">
        <f t="shared" si="11"/>
        <v>-382555.26509999996</v>
      </c>
      <c r="T60" s="3">
        <f t="shared" si="11"/>
        <v>-382555.26509999996</v>
      </c>
      <c r="U60" s="3">
        <f t="shared" si="11"/>
        <v>-382555.26509999996</v>
      </c>
      <c r="V60" s="3">
        <f t="shared" si="11"/>
        <v>-382555.26509999996</v>
      </c>
      <c r="W60" s="3">
        <f t="shared" si="11"/>
        <v>-382555.26509999996</v>
      </c>
      <c r="X60" s="3">
        <f t="shared" si="11"/>
        <v>-382555.26509999996</v>
      </c>
      <c r="Y60" s="3">
        <f t="shared" si="11"/>
        <v>-382555.26509999996</v>
      </c>
      <c r="Z60" s="3">
        <f t="shared" si="11"/>
        <v>-382555.26509999996</v>
      </c>
      <c r="AA60" s="3">
        <f t="shared" si="11"/>
        <v>-382555.26509999996</v>
      </c>
      <c r="AB60" s="3">
        <f t="shared" si="11"/>
        <v>-382555.26509999996</v>
      </c>
      <c r="AC60" s="3">
        <f t="shared" si="11"/>
        <v>-382555.26509999996</v>
      </c>
      <c r="AD60" s="3">
        <f t="shared" si="11"/>
        <v>-382555.26509999996</v>
      </c>
      <c r="AE60" s="3">
        <f t="shared" si="11"/>
        <v>-382555.26509999996</v>
      </c>
      <c r="AF60" s="3">
        <f t="shared" si="11"/>
        <v>-382555.26509999996</v>
      </c>
      <c r="AG60" s="3">
        <f t="shared" si="11"/>
        <v>-382555.26509999996</v>
      </c>
      <c r="AH60" s="3">
        <f t="shared" si="11"/>
        <v>-382555.26509999996</v>
      </c>
      <c r="AI60" s="3">
        <f t="shared" si="11"/>
        <v>-382555.26509999996</v>
      </c>
      <c r="AJ60" s="3">
        <f t="shared" si="11"/>
        <v>-382555.26509999996</v>
      </c>
      <c r="AK60" s="3"/>
    </row>
    <row r="61" spans="1:37">
      <c r="D61" s="1"/>
      <c r="G61" s="3">
        <v>0</v>
      </c>
      <c r="H61" s="3">
        <v>0</v>
      </c>
      <c r="I61" s="3">
        <v>0</v>
      </c>
      <c r="J61" s="3">
        <f>J60/27</f>
        <v>-14168.71352222222</v>
      </c>
      <c r="K61" s="3">
        <f t="shared" ref="K61:AJ61" si="12">J61</f>
        <v>-14168.71352222222</v>
      </c>
      <c r="L61" s="3">
        <f t="shared" si="12"/>
        <v>-14168.71352222222</v>
      </c>
      <c r="M61" s="3">
        <f t="shared" si="12"/>
        <v>-14168.71352222222</v>
      </c>
      <c r="N61" s="3">
        <f t="shared" si="12"/>
        <v>-14168.71352222222</v>
      </c>
      <c r="O61" s="3">
        <f t="shared" si="12"/>
        <v>-14168.71352222222</v>
      </c>
      <c r="P61" s="3">
        <f t="shared" si="12"/>
        <v>-14168.71352222222</v>
      </c>
      <c r="Q61" s="3">
        <f t="shared" si="12"/>
        <v>-14168.71352222222</v>
      </c>
      <c r="R61" s="3">
        <f t="shared" si="12"/>
        <v>-14168.71352222222</v>
      </c>
      <c r="S61" s="3">
        <f t="shared" si="12"/>
        <v>-14168.71352222222</v>
      </c>
      <c r="T61" s="3">
        <f t="shared" si="12"/>
        <v>-14168.71352222222</v>
      </c>
      <c r="U61" s="3">
        <f t="shared" si="12"/>
        <v>-14168.71352222222</v>
      </c>
      <c r="V61" s="3">
        <f t="shared" si="12"/>
        <v>-14168.71352222222</v>
      </c>
      <c r="W61" s="3">
        <f t="shared" si="12"/>
        <v>-14168.71352222222</v>
      </c>
      <c r="X61" s="3">
        <f t="shared" si="12"/>
        <v>-14168.71352222222</v>
      </c>
      <c r="Y61" s="3">
        <f t="shared" si="12"/>
        <v>-14168.71352222222</v>
      </c>
      <c r="Z61" s="3">
        <f t="shared" si="12"/>
        <v>-14168.71352222222</v>
      </c>
      <c r="AA61" s="3">
        <f t="shared" si="12"/>
        <v>-14168.71352222222</v>
      </c>
      <c r="AB61" s="3">
        <f t="shared" si="12"/>
        <v>-14168.71352222222</v>
      </c>
      <c r="AC61" s="3">
        <f t="shared" si="12"/>
        <v>-14168.71352222222</v>
      </c>
      <c r="AD61" s="3">
        <f t="shared" si="12"/>
        <v>-14168.71352222222</v>
      </c>
      <c r="AE61" s="3">
        <f t="shared" si="12"/>
        <v>-14168.71352222222</v>
      </c>
      <c r="AF61" s="3">
        <f t="shared" si="12"/>
        <v>-14168.71352222222</v>
      </c>
      <c r="AG61" s="3">
        <f t="shared" si="12"/>
        <v>-14168.71352222222</v>
      </c>
      <c r="AH61" s="3">
        <f t="shared" si="12"/>
        <v>-14168.71352222222</v>
      </c>
      <c r="AI61" s="3">
        <f t="shared" si="12"/>
        <v>-14168.71352222222</v>
      </c>
      <c r="AJ61" s="3">
        <f t="shared" si="12"/>
        <v>-14168.71352222222</v>
      </c>
      <c r="AK61" s="3">
        <f>SUM(G61:AJ61)</f>
        <v>-382555.26510000002</v>
      </c>
    </row>
    <row r="62" spans="1:37">
      <c r="D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>
      <c r="D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6" spans="3:37">
      <c r="D66" s="40" t="s">
        <v>99</v>
      </c>
      <c r="E66" s="40"/>
      <c r="F66" s="40"/>
      <c r="G66" s="3">
        <f>SUM(G61:G65)</f>
        <v>0</v>
      </c>
      <c r="H66" s="3">
        <f t="shared" ref="H66:AJ66" si="13">SUM(H61:H65)</f>
        <v>0</v>
      </c>
      <c r="I66" s="3">
        <f t="shared" si="13"/>
        <v>0</v>
      </c>
      <c r="J66" s="3">
        <f t="shared" si="13"/>
        <v>-14168.71352222222</v>
      </c>
      <c r="K66" s="3">
        <f t="shared" si="13"/>
        <v>-14168.71352222222</v>
      </c>
      <c r="L66" s="3">
        <f t="shared" si="13"/>
        <v>-14168.71352222222</v>
      </c>
      <c r="M66" s="3">
        <f t="shared" si="13"/>
        <v>-14168.71352222222</v>
      </c>
      <c r="N66" s="3">
        <f t="shared" si="13"/>
        <v>-14168.71352222222</v>
      </c>
      <c r="O66" s="3">
        <f t="shared" si="13"/>
        <v>-14168.71352222222</v>
      </c>
      <c r="P66" s="3">
        <f t="shared" si="13"/>
        <v>-14168.71352222222</v>
      </c>
      <c r="Q66" s="3">
        <f t="shared" si="13"/>
        <v>-14168.71352222222</v>
      </c>
      <c r="R66" s="3">
        <f t="shared" si="13"/>
        <v>-14168.71352222222</v>
      </c>
      <c r="S66" s="3">
        <f t="shared" si="13"/>
        <v>-14168.71352222222</v>
      </c>
      <c r="T66" s="3">
        <f t="shared" si="13"/>
        <v>-14168.71352222222</v>
      </c>
      <c r="U66" s="3">
        <f t="shared" si="13"/>
        <v>-14168.71352222222</v>
      </c>
      <c r="V66" s="3">
        <f t="shared" si="13"/>
        <v>-14168.71352222222</v>
      </c>
      <c r="W66" s="3">
        <f t="shared" si="13"/>
        <v>-14168.71352222222</v>
      </c>
      <c r="X66" s="3">
        <f t="shared" si="13"/>
        <v>-14168.71352222222</v>
      </c>
      <c r="Y66" s="3">
        <f t="shared" si="13"/>
        <v>-14168.71352222222</v>
      </c>
      <c r="Z66" s="3">
        <f t="shared" si="13"/>
        <v>-14168.71352222222</v>
      </c>
      <c r="AA66" s="3">
        <f t="shared" si="13"/>
        <v>-14168.71352222222</v>
      </c>
      <c r="AB66" s="3">
        <f t="shared" si="13"/>
        <v>-14168.71352222222</v>
      </c>
      <c r="AC66" s="3">
        <f t="shared" si="13"/>
        <v>-14168.71352222222</v>
      </c>
      <c r="AD66" s="3">
        <f t="shared" si="13"/>
        <v>-14168.71352222222</v>
      </c>
      <c r="AE66" s="3">
        <f t="shared" si="13"/>
        <v>-14168.71352222222</v>
      </c>
      <c r="AF66" s="3">
        <f t="shared" si="13"/>
        <v>-14168.71352222222</v>
      </c>
      <c r="AG66" s="3">
        <f t="shared" si="13"/>
        <v>-14168.71352222222</v>
      </c>
      <c r="AH66" s="3">
        <f t="shared" si="13"/>
        <v>-14168.71352222222</v>
      </c>
      <c r="AI66" s="3">
        <f t="shared" si="13"/>
        <v>-14168.71352222222</v>
      </c>
      <c r="AJ66" s="3">
        <f t="shared" si="13"/>
        <v>-14168.71352222222</v>
      </c>
      <c r="AK66" s="3">
        <f>SUM(G66:AJ66)</f>
        <v>-382555.26510000002</v>
      </c>
    </row>
    <row r="67" spans="3:37">
      <c r="G67" s="3">
        <f>G66</f>
        <v>0</v>
      </c>
      <c r="H67" s="3">
        <f>G67+H66</f>
        <v>0</v>
      </c>
      <c r="I67" s="3">
        <f t="shared" ref="I67:AJ67" si="14">H67+I66</f>
        <v>0</v>
      </c>
      <c r="J67" s="3">
        <f t="shared" si="14"/>
        <v>-14168.71352222222</v>
      </c>
      <c r="K67" s="3">
        <f t="shared" si="14"/>
        <v>-28337.427044444441</v>
      </c>
      <c r="L67" s="3">
        <f t="shared" si="14"/>
        <v>-42506.140566666661</v>
      </c>
      <c r="M67" s="3">
        <f t="shared" si="14"/>
        <v>-56674.854088888882</v>
      </c>
      <c r="N67" s="3">
        <f t="shared" si="14"/>
        <v>-70843.567611111095</v>
      </c>
      <c r="O67" s="3">
        <f t="shared" si="14"/>
        <v>-85012.281133333308</v>
      </c>
      <c r="P67" s="3">
        <f t="shared" si="14"/>
        <v>-99180.994655555522</v>
      </c>
      <c r="Q67" s="3">
        <f t="shared" si="14"/>
        <v>-113349.70817777773</v>
      </c>
      <c r="R67" s="3">
        <f t="shared" si="14"/>
        <v>-127518.42169999995</v>
      </c>
      <c r="S67" s="3">
        <f t="shared" si="14"/>
        <v>-141687.13522222216</v>
      </c>
      <c r="T67" s="3">
        <f t="shared" si="14"/>
        <v>-155855.84874444437</v>
      </c>
      <c r="U67" s="3">
        <f t="shared" si="14"/>
        <v>-170024.56226666659</v>
      </c>
      <c r="V67" s="3">
        <f t="shared" si="14"/>
        <v>-184193.2757888888</v>
      </c>
      <c r="W67" s="3">
        <f t="shared" si="14"/>
        <v>-198361.98931111101</v>
      </c>
      <c r="X67" s="3">
        <f t="shared" si="14"/>
        <v>-212530.70283333323</v>
      </c>
      <c r="Y67" s="3">
        <f t="shared" si="14"/>
        <v>-226699.41635555544</v>
      </c>
      <c r="Z67" s="3">
        <f t="shared" si="14"/>
        <v>-240868.12987777765</v>
      </c>
      <c r="AA67" s="3">
        <f t="shared" si="14"/>
        <v>-255036.84339999987</v>
      </c>
      <c r="AB67" s="3">
        <f t="shared" si="14"/>
        <v>-269205.55692222208</v>
      </c>
      <c r="AC67" s="3">
        <f t="shared" si="14"/>
        <v>-283374.27044444432</v>
      </c>
      <c r="AD67" s="3">
        <f t="shared" si="14"/>
        <v>-297542.98396666656</v>
      </c>
      <c r="AE67" s="3">
        <f t="shared" si="14"/>
        <v>-311711.69748888881</v>
      </c>
      <c r="AF67" s="3">
        <f t="shared" si="14"/>
        <v>-325880.41101111105</v>
      </c>
      <c r="AG67" s="3">
        <f t="shared" si="14"/>
        <v>-340049.12453333329</v>
      </c>
      <c r="AH67" s="3">
        <f t="shared" si="14"/>
        <v>-354217.83805555553</v>
      </c>
      <c r="AI67" s="3">
        <f t="shared" si="14"/>
        <v>-368386.55157777778</v>
      </c>
      <c r="AJ67" s="3">
        <f t="shared" si="14"/>
        <v>-382555.26510000002</v>
      </c>
    </row>
    <row r="69" spans="3:37" s="9" customFormat="1">
      <c r="C69" s="8"/>
    </row>
  </sheetData>
  <mergeCells count="4">
    <mergeCell ref="D3:F3"/>
    <mergeCell ref="D58:F58"/>
    <mergeCell ref="D59:F59"/>
    <mergeCell ref="D60:F6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385D4-BEC6-44DB-8A22-D2291E19A2FC}"/>
</file>

<file path=customXml/itemProps2.xml><?xml version="1.0" encoding="utf-8"?>
<ds:datastoreItem xmlns:ds="http://schemas.openxmlformats.org/officeDocument/2006/customXml" ds:itemID="{03771D08-6AAC-4ADE-9F6B-F5916003C30B}"/>
</file>

<file path=customXml/itemProps3.xml><?xml version="1.0" encoding="utf-8"?>
<ds:datastoreItem xmlns:ds="http://schemas.openxmlformats.org/officeDocument/2006/customXml" ds:itemID="{DD13184D-5AB7-4538-964F-A42D2FCE0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Rafael kenzo Fagundes Jonen</cp:lastModifiedBy>
  <cp:revision/>
  <dcterms:created xsi:type="dcterms:W3CDTF">2021-12-12T00:01:38Z</dcterms:created>
  <dcterms:modified xsi:type="dcterms:W3CDTF">2024-01-22T19:04:25Z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